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0485"/>
  </bookViews>
  <sheets>
    <sheet name="For Policy" sheetId="4" r:id="rId1"/>
  </sheets>
  <calcPr calcId="145621" iterate="1" concurrentCalc="0"/>
</workbook>
</file>

<file path=xl/calcChain.xml><?xml version="1.0" encoding="utf-8"?>
<calcChain xmlns="http://schemas.openxmlformats.org/spreadsheetml/2006/main">
  <c r="H5" i="4" l="1"/>
  <c r="M12" i="4"/>
  <c r="C20" i="4"/>
  <c r="K11" i="4"/>
  <c r="L11" i="4"/>
  <c r="H14" i="4"/>
  <c r="M14" i="4"/>
  <c r="C11" i="4"/>
  <c r="L10" i="4"/>
  <c r="L9" i="4"/>
  <c r="G9" i="4"/>
  <c r="L8" i="4"/>
  <c r="G8" i="4"/>
  <c r="L7" i="4"/>
  <c r="L6" i="4"/>
  <c r="G6" i="4"/>
  <c r="G5" i="4"/>
  <c r="M10" i="4"/>
  <c r="G7" i="4"/>
  <c r="G15" i="4"/>
  <c r="H7" i="4"/>
  <c r="M7" i="4"/>
  <c r="H9" i="4"/>
  <c r="M9" i="4"/>
  <c r="H8" i="4"/>
  <c r="M8" i="4"/>
  <c r="M6" i="4"/>
  <c r="M5" i="4"/>
  <c r="H15" i="4"/>
  <c r="M11" i="4"/>
  <c r="M13" i="4"/>
  <c r="M15" i="4"/>
  <c r="M16" i="4"/>
  <c r="M17" i="4"/>
</calcChain>
</file>

<file path=xl/sharedStrings.xml><?xml version="1.0" encoding="utf-8"?>
<sst xmlns="http://schemas.openxmlformats.org/spreadsheetml/2006/main" count="50" uniqueCount="45">
  <si>
    <t>1st Floor</t>
  </si>
  <si>
    <t>2nd Floor</t>
  </si>
  <si>
    <t>3rd Floor</t>
  </si>
  <si>
    <t>4th Floor</t>
  </si>
  <si>
    <t>Use</t>
  </si>
  <si>
    <t>COI:</t>
  </si>
  <si>
    <t>TE Bond Proceeds:</t>
  </si>
  <si>
    <t>Total</t>
  </si>
  <si>
    <t>Allocated Proceeds ($)</t>
  </si>
  <si>
    <t>N/A</t>
  </si>
  <si>
    <t>Area:</t>
  </si>
  <si>
    <t>% Space PBU</t>
  </si>
  <si>
    <t>Net PBU</t>
  </si>
  <si>
    <t>PBU Time (Ms)</t>
  </si>
  <si>
    <t>Total Time (M)</t>
  </si>
  <si>
    <t xml:space="preserve"> Weighted PBU (%)</t>
  </si>
  <si>
    <t>Assumptions:</t>
  </si>
  <si>
    <t>Months of Debt Financing</t>
  </si>
  <si>
    <t>Net Sale Proceeds:</t>
  </si>
  <si>
    <t>Net PBU pre COI</t>
  </si>
  <si>
    <t>Square Feet</t>
  </si>
  <si>
    <t xml:space="preserve">Issue Date: </t>
  </si>
  <si>
    <t>Final Maturity Date:</t>
  </si>
  <si>
    <t xml:space="preserve"> 6/1/2034</t>
  </si>
  <si>
    <t>Research Contracts (pro rata)</t>
  </si>
  <si>
    <t>Costs of Issuance</t>
  </si>
  <si>
    <t>Assignable SF</t>
  </si>
  <si>
    <t>% PBU for Research Contracts:</t>
  </si>
  <si>
    <t>Private Use:</t>
  </si>
  <si>
    <r>
      <t>Qualified Equity</t>
    </r>
    <r>
      <rPr>
        <b/>
        <vertAlign val="superscript"/>
        <sz val="11"/>
        <color rgb="FFFF0000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:</t>
    </r>
  </si>
  <si>
    <r>
      <t>Ownership Interest</t>
    </r>
    <r>
      <rPr>
        <b/>
        <vertAlign val="superscript"/>
        <sz val="11"/>
        <color rgb="FFFF0000"/>
        <rFont val="Calibri"/>
        <family val="2"/>
        <scheme val="minor"/>
      </rPr>
      <t>1</t>
    </r>
  </si>
  <si>
    <t>Total Research with PBU</t>
  </si>
  <si>
    <t>Total Research Expenditures</t>
  </si>
  <si>
    <r>
      <t>Private Lease --Sq Ft</t>
    </r>
    <r>
      <rPr>
        <b/>
        <vertAlign val="superscript"/>
        <sz val="11"/>
        <color rgb="FFFF0000"/>
        <rFont val="Calibri"/>
        <family val="2"/>
        <scheme val="minor"/>
      </rPr>
      <t>3</t>
    </r>
  </si>
  <si>
    <t>Ground Lease</t>
  </si>
  <si>
    <t>Private Lease</t>
  </si>
  <si>
    <t>University</t>
  </si>
  <si>
    <r>
      <rPr>
        <b/>
        <sz val="10"/>
        <color rgb="FFFF0000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 The Ownership Interest is the residual interest that resides in the Ground Lessor under the University's 45-year lease (it was valued at .45% of the value of the building, or $158,985.70).</t>
    </r>
  </si>
  <si>
    <r>
      <rPr>
        <b/>
        <sz val="10"/>
        <color rgb="FFFF0000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 Qualified Equity is in the form of a $5,000,000 cash contribution from UW</t>
    </r>
  </si>
  <si>
    <r>
      <rPr>
        <b/>
        <sz val="11"/>
        <color theme="1"/>
        <rFont val="Calibri"/>
        <family val="2"/>
        <scheme val="minor"/>
      </rPr>
      <t>Bond:</t>
    </r>
    <r>
      <rPr>
        <sz val="11"/>
        <color theme="1"/>
        <rFont val="Calibri"/>
        <family val="2"/>
        <scheme val="minor"/>
      </rPr>
      <t xml:space="preserve"> 2014 Sample Bonds - 501(c)(3)</t>
    </r>
  </si>
  <si>
    <r>
      <rPr>
        <b/>
        <sz val="11"/>
        <color theme="1"/>
        <rFont val="Calibri"/>
        <family val="2"/>
        <scheme val="minor"/>
      </rPr>
      <t>Project(s):</t>
    </r>
    <r>
      <rPr>
        <sz val="11"/>
        <color theme="1"/>
        <rFont val="Calibri"/>
        <family val="2"/>
        <scheme val="minor"/>
      </rPr>
      <t xml:space="preserve"> Sample University Building</t>
    </r>
  </si>
  <si>
    <t>Remaining allowable PBU:</t>
  </si>
  <si>
    <t>Total PBU (245 months):</t>
  </si>
  <si>
    <t>Qualified Equity</t>
  </si>
  <si>
    <r>
      <rPr>
        <b/>
        <sz val="10"/>
        <color rgb="FFFF0000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 The Private Lease is for 3,193 sq ft on the 2nd floor of the Building; the lease commenced 3/25/2015 as a 1-year lease with two 1-yr options to renew.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</si>
</sst>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43" fontId="0" fillId="0" borderId="0" xfId="0" applyNumberFormat="1"/>
    <xf numFmtId="0" fontId="0" fillId="0" borderId="1" xfId="0" applyBorder="1"/>
    <xf numFmtId="164" fontId="0" fillId="0" borderId="1" xfId="1" applyNumberFormat="1" applyFont="1" applyBorder="1"/>
    <xf numFmtId="164" fontId="0" fillId="0" borderId="0" xfId="1" applyNumberFormat="1" applyFont="1" applyBorder="1"/>
    <xf numFmtId="0" fontId="3" fillId="0" borderId="0" xfId="0" applyFont="1" applyFill="1"/>
    <xf numFmtId="0" fontId="3" fillId="0" borderId="0" xfId="0" applyFont="1" applyFill="1" applyBorder="1"/>
    <xf numFmtId="1" fontId="0" fillId="0" borderId="0" xfId="1" applyNumberFormat="1" applyFont="1" applyBorder="1"/>
    <xf numFmtId="43" fontId="0" fillId="0" borderId="0" xfId="1" applyNumberFormat="1" applyFont="1" applyBorder="1"/>
    <xf numFmtId="9" fontId="0" fillId="0" borderId="0" xfId="2" applyFont="1" applyBorder="1"/>
    <xf numFmtId="0" fontId="7" fillId="0" borderId="0" xfId="0" applyFont="1" applyFill="1" applyBorder="1" applyAlignment="1">
      <alignment horizontal="left" vertical="top" wrapText="1"/>
    </xf>
    <xf numFmtId="0" fontId="0" fillId="0" borderId="0" xfId="0" applyBorder="1"/>
    <xf numFmtId="164" fontId="0" fillId="0" borderId="0" xfId="1" applyNumberFormat="1" applyFont="1" applyBorder="1" applyAlignment="1">
      <alignment horizontal="right"/>
    </xf>
    <xf numFmtId="164" fontId="0" fillId="0" borderId="0" xfId="1" applyNumberFormat="1" applyFont="1" applyFill="1" applyBorder="1"/>
    <xf numFmtId="0" fontId="0" fillId="0" borderId="4" xfId="0" applyBorder="1"/>
    <xf numFmtId="0" fontId="0" fillId="0" borderId="5" xfId="0" applyBorder="1"/>
    <xf numFmtId="0" fontId="7" fillId="0" borderId="0" xfId="0" applyFont="1" applyAlignment="1">
      <alignment horizontal="left"/>
    </xf>
    <xf numFmtId="166" fontId="0" fillId="0" borderId="0" xfId="2" applyNumberFormat="1" applyFont="1" applyBorder="1"/>
    <xf numFmtId="0" fontId="12" fillId="0" borderId="0" xfId="0" applyFont="1" applyBorder="1"/>
    <xf numFmtId="0" fontId="12" fillId="0" borderId="0" xfId="0" applyFont="1" applyFill="1" applyBorder="1"/>
    <xf numFmtId="0" fontId="0" fillId="0" borderId="0" xfId="0" applyFont="1" applyBorder="1"/>
    <xf numFmtId="0" fontId="2" fillId="2" borderId="2" xfId="0" applyFont="1" applyFill="1" applyBorder="1"/>
    <xf numFmtId="0" fontId="0" fillId="2" borderId="3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7" xfId="0" applyFont="1" applyBorder="1"/>
    <xf numFmtId="14" fontId="0" fillId="0" borderId="8" xfId="0" applyNumberFormat="1" applyBorder="1"/>
    <xf numFmtId="0" fontId="0" fillId="0" borderId="9" xfId="0" applyFont="1" applyBorder="1"/>
    <xf numFmtId="14" fontId="0" fillId="0" borderId="10" xfId="0" applyNumberFormat="1" applyBorder="1" applyAlignment="1">
      <alignment horizontal="right"/>
    </xf>
    <xf numFmtId="3" fontId="0" fillId="0" borderId="8" xfId="0" applyNumberFormat="1" applyBorder="1"/>
    <xf numFmtId="0" fontId="5" fillId="0" borderId="7" xfId="0" applyFont="1" applyBorder="1"/>
    <xf numFmtId="3" fontId="5" fillId="0" borderId="8" xfId="0" applyNumberFormat="1" applyFont="1" applyBorder="1"/>
    <xf numFmtId="3" fontId="0" fillId="0" borderId="8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7" xfId="0" applyFill="1" applyBorder="1"/>
    <xf numFmtId="164" fontId="0" fillId="0" borderId="8" xfId="1" applyNumberFormat="1" applyFont="1" applyBorder="1"/>
    <xf numFmtId="164" fontId="6" fillId="0" borderId="8" xfId="1" applyNumberFormat="1" applyFont="1" applyBorder="1"/>
    <xf numFmtId="10" fontId="0" fillId="0" borderId="6" xfId="2" applyNumberFormat="1" applyFont="1" applyBorder="1"/>
    <xf numFmtId="0" fontId="2" fillId="2" borderId="13" xfId="0" applyFont="1" applyFill="1" applyBorder="1"/>
    <xf numFmtId="0" fontId="2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0" fillId="0" borderId="16" xfId="0" applyBorder="1"/>
    <xf numFmtId="1" fontId="0" fillId="0" borderId="12" xfId="0" applyNumberFormat="1" applyBorder="1"/>
    <xf numFmtId="0" fontId="0" fillId="0" borderId="16" xfId="0" applyFont="1" applyBorder="1"/>
    <xf numFmtId="43" fontId="0" fillId="0" borderId="8" xfId="1" applyFont="1" applyBorder="1"/>
    <xf numFmtId="0" fontId="12" fillId="0" borderId="16" xfId="0" applyFont="1" applyBorder="1"/>
    <xf numFmtId="0" fontId="2" fillId="0" borderId="17" xfId="0" applyFont="1" applyBorder="1"/>
    <xf numFmtId="3" fontId="0" fillId="0" borderId="10" xfId="0" applyNumberFormat="1" applyFont="1" applyBorder="1"/>
    <xf numFmtId="0" fontId="2" fillId="0" borderId="0" xfId="0" applyFont="1" applyBorder="1" applyAlignment="1">
      <alignment horizontal="right"/>
    </xf>
    <xf numFmtId="165" fontId="2" fillId="0" borderId="0" xfId="2" applyNumberFormat="1" applyFont="1" applyBorder="1"/>
    <xf numFmtId="0" fontId="0" fillId="0" borderId="0" xfId="0" applyFont="1" applyBorder="1" applyAlignment="1">
      <alignment horizontal="right"/>
    </xf>
    <xf numFmtId="165" fontId="0" fillId="0" borderId="0" xfId="0" applyNumberFormat="1" applyFont="1" applyBorder="1"/>
    <xf numFmtId="43" fontId="0" fillId="0" borderId="0" xfId="0" applyNumberFormat="1" applyBorder="1"/>
    <xf numFmtId="0" fontId="0" fillId="0" borderId="5" xfId="0" applyFont="1" applyFill="1" applyBorder="1" applyAlignment="1">
      <alignment horizontal="right"/>
    </xf>
    <xf numFmtId="0" fontId="0" fillId="0" borderId="18" xfId="0" applyBorder="1"/>
    <xf numFmtId="164" fontId="0" fillId="0" borderId="0" xfId="2" applyNumberFormat="1" applyFont="1" applyBorder="1"/>
    <xf numFmtId="164" fontId="0" fillId="0" borderId="0" xfId="0" applyNumberFormat="1" applyBorder="1"/>
    <xf numFmtId="164" fontId="0" fillId="0" borderId="0" xfId="0" applyNumberFormat="1" applyBorder="1" applyAlignment="1">
      <alignment horizontal="right"/>
    </xf>
    <xf numFmtId="164" fontId="0" fillId="0" borderId="1" xfId="0" applyNumberFormat="1" applyBorder="1"/>
    <xf numFmtId="164" fontId="0" fillId="0" borderId="12" xfId="1" applyNumberFormat="1" applyFont="1" applyBorder="1"/>
    <xf numFmtId="10" fontId="11" fillId="0" borderId="8" xfId="2" applyNumberFormat="1" applyFont="1" applyBorder="1"/>
    <xf numFmtId="10" fontId="0" fillId="0" borderId="6" xfId="0" applyNumberFormat="1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6"/>
  <sheetViews>
    <sheetView tabSelected="1" view="pageLayout" topLeftCell="B1" zoomScaleNormal="100" workbookViewId="0">
      <selection activeCell="H5" sqref="H5"/>
    </sheetView>
  </sheetViews>
  <sheetFormatPr defaultRowHeight="15" x14ac:dyDescent="0.25"/>
  <cols>
    <col min="1" max="1" width="4.42578125" customWidth="1"/>
    <col min="2" max="2" width="32" customWidth="1"/>
    <col min="3" max="3" width="17.28515625" bestFit="1" customWidth="1"/>
    <col min="4" max="4" width="3.42578125" style="6" customWidth="1"/>
    <col min="5" max="5" width="27.85546875" customWidth="1"/>
    <col min="6" max="6" width="13.140625" bestFit="1" customWidth="1"/>
    <col min="7" max="7" width="10.5703125" bestFit="1" customWidth="1"/>
    <col min="8" max="8" width="14.28515625" bestFit="1" customWidth="1"/>
    <col min="9" max="9" width="9.5703125" bestFit="1" customWidth="1"/>
    <col min="10" max="10" width="10.28515625" bestFit="1" customWidth="1"/>
    <col min="11" max="11" width="8.140625" bestFit="1" customWidth="1"/>
    <col min="12" max="12" width="10.28515625" bestFit="1" customWidth="1"/>
    <col min="13" max="14" width="13.28515625" bestFit="1" customWidth="1"/>
    <col min="15" max="15" width="13.140625" bestFit="1" customWidth="1"/>
    <col min="16" max="16" width="13.42578125" bestFit="1" customWidth="1"/>
    <col min="17" max="17" width="11.28515625" bestFit="1" customWidth="1"/>
    <col min="18" max="18" width="11.85546875" bestFit="1" customWidth="1"/>
    <col min="19" max="19" width="11.28515625" customWidth="1"/>
  </cols>
  <sheetData>
    <row r="1" spans="2:19" x14ac:dyDescent="0.25">
      <c r="D1"/>
      <c r="S1" s="1"/>
    </row>
    <row r="2" spans="2:19" ht="15.75" thickBot="1" x14ac:dyDescent="0.3">
      <c r="B2" s="12"/>
      <c r="C2" s="12"/>
      <c r="D2" s="7"/>
      <c r="E2" s="12"/>
      <c r="N2" s="2"/>
      <c r="S2" s="1"/>
    </row>
    <row r="3" spans="2:19" ht="30" x14ac:dyDescent="0.25">
      <c r="B3" s="22" t="s">
        <v>16</v>
      </c>
      <c r="C3" s="23"/>
      <c r="D3" s="7"/>
      <c r="E3" s="42" t="s">
        <v>10</v>
      </c>
      <c r="F3" s="43" t="s">
        <v>4</v>
      </c>
      <c r="G3" s="44" t="s">
        <v>20</v>
      </c>
      <c r="H3" s="44" t="s">
        <v>8</v>
      </c>
      <c r="I3" s="44" t="s">
        <v>13</v>
      </c>
      <c r="J3" s="44" t="s">
        <v>14</v>
      </c>
      <c r="K3" s="44" t="s">
        <v>11</v>
      </c>
      <c r="L3" s="44" t="s">
        <v>15</v>
      </c>
      <c r="M3" s="45" t="s">
        <v>12</v>
      </c>
    </row>
    <row r="4" spans="2:19" x14ac:dyDescent="0.25">
      <c r="B4" s="24" t="s">
        <v>39</v>
      </c>
      <c r="C4" s="25"/>
      <c r="D4" s="7"/>
      <c r="E4" s="46"/>
      <c r="F4" s="12"/>
      <c r="G4" s="12"/>
      <c r="H4" s="12"/>
      <c r="I4" s="12"/>
      <c r="J4" s="12"/>
      <c r="K4" s="12"/>
      <c r="L4" s="8"/>
      <c r="M4" s="47"/>
    </row>
    <row r="5" spans="2:19" x14ac:dyDescent="0.25">
      <c r="B5" s="26" t="s">
        <v>40</v>
      </c>
      <c r="C5" s="27"/>
      <c r="D5" s="7"/>
      <c r="E5" s="48" t="s">
        <v>0</v>
      </c>
      <c r="F5" s="21" t="s">
        <v>36</v>
      </c>
      <c r="G5" s="5">
        <f>$C$13/4</f>
        <v>17366.5</v>
      </c>
      <c r="H5" s="5">
        <f>(G5*($C$11-$H$10)/$G$15)</f>
        <v>7542792.25</v>
      </c>
      <c r="I5" s="9">
        <v>0</v>
      </c>
      <c r="J5" s="5">
        <v>245</v>
      </c>
      <c r="K5" s="10">
        <v>0</v>
      </c>
      <c r="L5" s="10">
        <v>0</v>
      </c>
      <c r="M5" s="49">
        <f t="shared" ref="M5:M10" si="0">L5*H5</f>
        <v>0</v>
      </c>
    </row>
    <row r="6" spans="2:19" x14ac:dyDescent="0.25">
      <c r="B6" s="24"/>
      <c r="C6" s="25"/>
      <c r="D6" s="7"/>
      <c r="E6" s="48" t="s">
        <v>1</v>
      </c>
      <c r="F6" s="19" t="s">
        <v>35</v>
      </c>
      <c r="G6" s="5">
        <f>C17</f>
        <v>3193</v>
      </c>
      <c r="H6" s="5">
        <v>1386816</v>
      </c>
      <c r="I6" s="5">
        <v>36</v>
      </c>
      <c r="J6" s="5">
        <v>245</v>
      </c>
      <c r="K6" s="10">
        <v>1</v>
      </c>
      <c r="L6" s="18">
        <f>(I6/J6)*K6</f>
        <v>0.14693877551020409</v>
      </c>
      <c r="M6" s="39">
        <f>L6*H6</f>
        <v>203777.04489795919</v>
      </c>
    </row>
    <row r="7" spans="2:19" x14ac:dyDescent="0.25">
      <c r="B7" s="28" t="s">
        <v>21</v>
      </c>
      <c r="C7" s="29">
        <v>41648</v>
      </c>
      <c r="D7" s="7"/>
      <c r="E7" s="48" t="s">
        <v>1</v>
      </c>
      <c r="F7" s="21" t="s">
        <v>36</v>
      </c>
      <c r="G7" s="5">
        <f>G5-G6</f>
        <v>14173.5</v>
      </c>
      <c r="H7" s="5">
        <f>(G7*($C$11-$H$10)/$G$15)</f>
        <v>6155976.5039227819</v>
      </c>
      <c r="I7" s="5">
        <v>0</v>
      </c>
      <c r="J7" s="5">
        <v>245</v>
      </c>
      <c r="K7" s="10">
        <v>0</v>
      </c>
      <c r="L7" s="10">
        <f>(I7/J7)*K7</f>
        <v>0</v>
      </c>
      <c r="M7" s="49">
        <f t="shared" si="0"/>
        <v>0</v>
      </c>
    </row>
    <row r="8" spans="2:19" x14ac:dyDescent="0.25">
      <c r="B8" s="30" t="s">
        <v>22</v>
      </c>
      <c r="C8" s="31" t="s">
        <v>23</v>
      </c>
      <c r="D8" s="7"/>
      <c r="E8" s="48" t="s">
        <v>2</v>
      </c>
      <c r="F8" s="21" t="s">
        <v>36</v>
      </c>
      <c r="G8" s="5">
        <f>$C$13/4</f>
        <v>17366.5</v>
      </c>
      <c r="H8" s="5">
        <f>(G8*($C$11-$H$10)/$G$15)</f>
        <v>7542792.25</v>
      </c>
      <c r="I8" s="9">
        <v>0</v>
      </c>
      <c r="J8" s="5">
        <v>245</v>
      </c>
      <c r="K8" s="10">
        <v>0</v>
      </c>
      <c r="L8" s="10">
        <f t="shared" ref="L8:L11" si="1">(I8/J8)*K8</f>
        <v>0</v>
      </c>
      <c r="M8" s="49">
        <f t="shared" si="0"/>
        <v>0</v>
      </c>
    </row>
    <row r="9" spans="2:19" x14ac:dyDescent="0.25">
      <c r="B9" s="24" t="s">
        <v>6</v>
      </c>
      <c r="C9" s="32">
        <v>30747209</v>
      </c>
      <c r="D9" s="7"/>
      <c r="E9" s="48" t="s">
        <v>3</v>
      </c>
      <c r="F9" s="21" t="s">
        <v>36</v>
      </c>
      <c r="G9" s="5">
        <f>$C$13/4</f>
        <v>17366.5</v>
      </c>
      <c r="H9" s="5">
        <f>(G9*($C$11-$H$10)/$G$15)</f>
        <v>7542792.25</v>
      </c>
      <c r="I9" s="9">
        <v>0</v>
      </c>
      <c r="J9" s="5">
        <v>245</v>
      </c>
      <c r="K9" s="10">
        <v>0</v>
      </c>
      <c r="L9" s="10">
        <f t="shared" si="1"/>
        <v>0</v>
      </c>
      <c r="M9" s="49">
        <f t="shared" si="0"/>
        <v>0</v>
      </c>
    </row>
    <row r="10" spans="2:19" ht="17.25" x14ac:dyDescent="0.25">
      <c r="B10" s="33" t="s">
        <v>5</v>
      </c>
      <c r="C10" s="34">
        <v>417054</v>
      </c>
      <c r="D10" s="7"/>
      <c r="E10" s="48" t="s">
        <v>30</v>
      </c>
      <c r="F10" s="20" t="s">
        <v>34</v>
      </c>
      <c r="G10" s="13" t="s">
        <v>9</v>
      </c>
      <c r="H10" s="5">
        <v>158986</v>
      </c>
      <c r="I10" s="5">
        <v>245</v>
      </c>
      <c r="J10" s="5">
        <v>245</v>
      </c>
      <c r="K10" s="60">
        <v>1</v>
      </c>
      <c r="L10" s="60">
        <f t="shared" si="1"/>
        <v>1</v>
      </c>
      <c r="M10" s="39">
        <f t="shared" si="0"/>
        <v>158986</v>
      </c>
    </row>
    <row r="11" spans="2:19" x14ac:dyDescent="0.25">
      <c r="B11" s="24" t="s">
        <v>18</v>
      </c>
      <c r="C11" s="32">
        <f>C9-C10</f>
        <v>30330155</v>
      </c>
      <c r="D11" s="7"/>
      <c r="E11" s="50" t="s">
        <v>24</v>
      </c>
      <c r="F11" s="12"/>
      <c r="G11" s="13"/>
      <c r="H11" s="5"/>
      <c r="I11" s="14">
        <v>12</v>
      </c>
      <c r="J11" s="14">
        <v>245</v>
      </c>
      <c r="K11" s="61">
        <f>C20</f>
        <v>1.5879751532437928E-2</v>
      </c>
      <c r="L11" s="60">
        <f t="shared" si="1"/>
        <v>7.7778374852757195E-4</v>
      </c>
      <c r="M11" s="39">
        <f>($C$11-(SUM(M5:M10)))*L11</f>
        <v>23308.150448434269</v>
      </c>
    </row>
    <row r="12" spans="2:19" ht="19.5" x14ac:dyDescent="0.4">
      <c r="B12" s="26" t="s">
        <v>29</v>
      </c>
      <c r="C12" s="52">
        <v>5000000</v>
      </c>
      <c r="D12" s="7"/>
      <c r="E12" s="48" t="s">
        <v>43</v>
      </c>
      <c r="F12" s="12"/>
      <c r="G12" s="13"/>
      <c r="H12" s="61"/>
      <c r="I12" s="61"/>
      <c r="J12" s="61"/>
      <c r="K12" s="61"/>
      <c r="L12" s="61"/>
      <c r="M12" s="40">
        <f>-C12</f>
        <v>-5000000</v>
      </c>
    </row>
    <row r="13" spans="2:19" x14ac:dyDescent="0.25">
      <c r="B13" s="24" t="s">
        <v>26</v>
      </c>
      <c r="C13" s="35">
        <v>69466</v>
      </c>
      <c r="D13" s="7"/>
      <c r="E13" s="48" t="s">
        <v>19</v>
      </c>
      <c r="F13" s="12"/>
      <c r="G13" s="13"/>
      <c r="H13" s="62"/>
      <c r="I13" s="5"/>
      <c r="J13" s="5"/>
      <c r="K13" s="60"/>
      <c r="L13" s="60"/>
      <c r="M13" s="39">
        <f>SUM(M5:M12)</f>
        <v>-4613928.8046536064</v>
      </c>
    </row>
    <row r="14" spans="2:19" x14ac:dyDescent="0.25">
      <c r="B14" s="36" t="s">
        <v>17</v>
      </c>
      <c r="C14" s="37">
        <v>245</v>
      </c>
      <c r="D14" s="7"/>
      <c r="E14" s="48" t="s">
        <v>25</v>
      </c>
      <c r="F14" s="12"/>
      <c r="G14" s="13" t="s">
        <v>9</v>
      </c>
      <c r="H14" s="5">
        <f>C10</f>
        <v>417054</v>
      </c>
      <c r="I14" s="5"/>
      <c r="J14" s="5"/>
      <c r="K14" s="60"/>
      <c r="L14" s="60"/>
      <c r="M14" s="39">
        <f>H14</f>
        <v>417054</v>
      </c>
    </row>
    <row r="15" spans="2:19" x14ac:dyDescent="0.25">
      <c r="B15" s="24"/>
      <c r="C15" s="25"/>
      <c r="D15" s="7"/>
      <c r="E15" s="51" t="s">
        <v>7</v>
      </c>
      <c r="F15" s="3"/>
      <c r="G15" s="4">
        <f>SUM(G5:G10)</f>
        <v>69466</v>
      </c>
      <c r="H15" s="4">
        <f>SUM(H5:H14)</f>
        <v>30747209.253922783</v>
      </c>
      <c r="I15" s="4"/>
      <c r="J15" s="4"/>
      <c r="K15" s="4"/>
      <c r="L15" s="63"/>
      <c r="M15" s="64">
        <f>MAX(M13,M14)</f>
        <v>417054</v>
      </c>
    </row>
    <row r="16" spans="2:19" x14ac:dyDescent="0.25">
      <c r="B16" s="67" t="s">
        <v>28</v>
      </c>
      <c r="C16" s="68"/>
      <c r="D16" s="7"/>
      <c r="E16" s="46"/>
      <c r="F16" s="12"/>
      <c r="G16" s="12"/>
      <c r="H16" s="57"/>
      <c r="I16" s="12"/>
      <c r="J16" s="12"/>
      <c r="K16" s="12"/>
      <c r="L16" s="53" t="s">
        <v>42</v>
      </c>
      <c r="M16" s="65">
        <f>M15/H15</f>
        <v>1.3563962717910456E-2</v>
      </c>
    </row>
    <row r="17" spans="2:13" ht="18" thickBot="1" x14ac:dyDescent="0.3">
      <c r="B17" s="38" t="s">
        <v>33</v>
      </c>
      <c r="C17" s="39">
        <v>3193</v>
      </c>
      <c r="D17" s="7"/>
      <c r="E17" s="59"/>
      <c r="F17" s="16"/>
      <c r="G17" s="16"/>
      <c r="H17" s="16"/>
      <c r="I17" s="16"/>
      <c r="J17" s="16"/>
      <c r="K17" s="16"/>
      <c r="L17" s="58" t="s">
        <v>41</v>
      </c>
      <c r="M17" s="66">
        <f>0.05-M16</f>
        <v>3.6436037282089551E-2</v>
      </c>
    </row>
    <row r="18" spans="2:13" x14ac:dyDescent="0.25">
      <c r="B18" s="24" t="s">
        <v>31</v>
      </c>
      <c r="C18" s="39">
        <v>321714</v>
      </c>
      <c r="D18" s="7"/>
      <c r="E18" s="11"/>
      <c r="F18" s="11"/>
      <c r="G18" s="11"/>
      <c r="H18" s="11"/>
      <c r="I18" s="12"/>
      <c r="J18" s="12"/>
      <c r="K18" s="12"/>
      <c r="L18" s="53"/>
      <c r="M18" s="54"/>
    </row>
    <row r="19" spans="2:13" ht="17.25" x14ac:dyDescent="0.4">
      <c r="B19" s="24" t="s">
        <v>32</v>
      </c>
      <c r="C19" s="40">
        <v>20259385</v>
      </c>
      <c r="D19" s="7"/>
      <c r="E19" s="11"/>
      <c r="F19" s="11"/>
      <c r="G19" s="11"/>
      <c r="H19" s="11"/>
      <c r="J19" s="12"/>
      <c r="K19" s="12"/>
      <c r="L19" s="55"/>
      <c r="M19" s="56"/>
    </row>
    <row r="20" spans="2:13" ht="15.75" thickBot="1" x14ac:dyDescent="0.3">
      <c r="B20" s="15" t="s">
        <v>27</v>
      </c>
      <c r="C20" s="41">
        <f>C18/C19</f>
        <v>1.5879751532437928E-2</v>
      </c>
      <c r="D20" s="7"/>
      <c r="M20" s="2"/>
    </row>
    <row r="21" spans="2:13" x14ac:dyDescent="0.25">
      <c r="C21" s="11"/>
      <c r="D21" s="11"/>
    </row>
    <row r="22" spans="2:13" x14ac:dyDescent="0.25">
      <c r="B22" s="17" t="s">
        <v>37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13" x14ac:dyDescent="0.25">
      <c r="B23" s="17" t="s">
        <v>38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2:13" x14ac:dyDescent="0.25">
      <c r="B24" s="17" t="s">
        <v>44</v>
      </c>
    </row>
    <row r="25" spans="2:13" x14ac:dyDescent="0.25">
      <c r="B25" s="17"/>
      <c r="D25" s="11"/>
    </row>
    <row r="26" spans="2:13" x14ac:dyDescent="0.25">
      <c r="B26" s="17"/>
      <c r="D26" s="11"/>
    </row>
  </sheetData>
  <mergeCells count="1">
    <mergeCell ref="B16:C16"/>
  </mergeCells>
  <pageMargins left="0.515625" right="0.25" top="0.75" bottom="0.75" header="0.3" footer="0.3"/>
  <pageSetup scale="74" orientation="landscape" r:id="rId1"/>
  <headerFooter>
    <oddHeader>&amp;C&amp;"-,Bold"Sample Private Use Tracking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Policy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Ennis</dc:creator>
  <cp:lastModifiedBy>Pacifica Law Group</cp:lastModifiedBy>
  <cp:lastPrinted>2015-10-27T21:47:11Z</cp:lastPrinted>
  <dcterms:created xsi:type="dcterms:W3CDTF">2015-02-27T16:16:02Z</dcterms:created>
  <dcterms:modified xsi:type="dcterms:W3CDTF">2015-12-07T16:41:42Z</dcterms:modified>
</cp:coreProperties>
</file>