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diem.NETID\Desktop\"/>
    </mc:Choice>
  </mc:AlternateContent>
  <bookViews>
    <workbookView xWindow="0" yWindow="0" windowWidth="20490" windowHeight="7755" activeTab="1"/>
  </bookViews>
  <sheets>
    <sheet name="Reference" sheetId="23" r:id="rId1"/>
    <sheet name="Salaries" sheetId="12" r:id="rId2"/>
    <sheet name="AdminSalbyUnitByEmpType" sheetId="9" state="hidden" r:id="rId3"/>
    <sheet name="LoadRates" sheetId="11" r:id="rId4"/>
  </sheets>
  <definedNames>
    <definedName name="GPpcntMjr">#REF!</definedName>
    <definedName name="GPpcntSCH">#REF!</definedName>
    <definedName name="_xlnm.Print_Area" localSheetId="1">Salaries!$B$1:$X$18</definedName>
    <definedName name="UGpcntDeg">#REF!</definedName>
    <definedName name="UGpcntSCH">#REF!</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F19" i="12" l="1"/>
  <c r="D18" i="12"/>
  <c r="E18" i="12"/>
  <c r="F18" i="12"/>
  <c r="D17" i="12"/>
  <c r="E17" i="12"/>
  <c r="F17" i="12"/>
  <c r="F16" i="12"/>
  <c r="F15" i="12"/>
  <c r="F14" i="12"/>
  <c r="F13" i="12"/>
  <c r="F12" i="12"/>
  <c r="F11" i="12"/>
  <c r="F10" i="12"/>
  <c r="F9" i="12"/>
  <c r="F8" i="12"/>
  <c r="F7" i="12"/>
  <c r="F6" i="12"/>
  <c r="F5" i="12"/>
  <c r="F4" i="12"/>
  <c r="F3" i="12"/>
  <c r="F2" i="12"/>
  <c r="G19" i="12"/>
  <c r="H19" i="12"/>
  <c r="G18" i="12"/>
  <c r="H18" i="12"/>
  <c r="G17" i="12"/>
  <c r="H17" i="12"/>
  <c r="G16" i="12"/>
  <c r="H16" i="12"/>
  <c r="G15" i="12"/>
  <c r="H15" i="12"/>
  <c r="G14" i="12"/>
  <c r="H14" i="12"/>
  <c r="G13" i="12"/>
  <c r="H13" i="12"/>
  <c r="G12" i="12"/>
  <c r="H12" i="12"/>
  <c r="G11" i="12"/>
  <c r="H11" i="12"/>
  <c r="G10" i="12"/>
  <c r="H10" i="12"/>
  <c r="G9" i="12"/>
  <c r="H9" i="12"/>
  <c r="G8" i="12"/>
  <c r="H8" i="12"/>
  <c r="G7" i="12"/>
  <c r="H7" i="12"/>
  <c r="G6" i="12"/>
  <c r="H6" i="12"/>
  <c r="G5" i="12"/>
  <c r="H5" i="12"/>
  <c r="G4" i="12"/>
  <c r="H4" i="12"/>
  <c r="G3" i="12"/>
  <c r="H3" i="12"/>
  <c r="G2" i="12"/>
  <c r="H2" i="12"/>
  <c r="F82" i="9"/>
  <c r="G82" i="9"/>
  <c r="H82" i="9"/>
  <c r="I82" i="9"/>
  <c r="E19" i="12"/>
  <c r="F66" i="9"/>
  <c r="G66" i="9"/>
  <c r="H66" i="9"/>
  <c r="I66" i="9"/>
  <c r="D19" i="12"/>
  <c r="F18" i="9"/>
  <c r="G18" i="9"/>
  <c r="H18" i="9"/>
  <c r="I18" i="9"/>
  <c r="F29" i="12"/>
  <c r="F34" i="9"/>
  <c r="G34" i="9"/>
  <c r="H34" i="9"/>
  <c r="I34" i="9"/>
  <c r="F30" i="12"/>
  <c r="F50" i="9"/>
  <c r="G50" i="9"/>
  <c r="H50" i="9"/>
  <c r="I50" i="9"/>
  <c r="C19" i="12"/>
  <c r="F81" i="9"/>
  <c r="G81" i="9"/>
  <c r="H81" i="9"/>
  <c r="I81" i="9"/>
  <c r="E16" i="12"/>
  <c r="F65" i="9"/>
  <c r="G65" i="9"/>
  <c r="H65" i="9"/>
  <c r="I65" i="9"/>
  <c r="D16" i="12"/>
  <c r="F17" i="9"/>
  <c r="G17" i="9"/>
  <c r="H17" i="9"/>
  <c r="I17" i="9"/>
  <c r="F33" i="9"/>
  <c r="G33" i="9"/>
  <c r="H33" i="9"/>
  <c r="I33" i="9"/>
  <c r="F49" i="9"/>
  <c r="G49" i="9"/>
  <c r="H49" i="9"/>
  <c r="I49" i="9"/>
  <c r="C16" i="12"/>
  <c r="F80" i="9"/>
  <c r="G80" i="9"/>
  <c r="H80" i="9"/>
  <c r="I80" i="9"/>
  <c r="E15" i="12"/>
  <c r="F64" i="9"/>
  <c r="G64" i="9"/>
  <c r="H64" i="9"/>
  <c r="I64" i="9"/>
  <c r="D15" i="12"/>
  <c r="F16" i="9"/>
  <c r="G16" i="9"/>
  <c r="H16" i="9"/>
  <c r="I16" i="9"/>
  <c r="F32" i="9"/>
  <c r="G32" i="9"/>
  <c r="H32" i="9"/>
  <c r="I32" i="9"/>
  <c r="F48" i="9"/>
  <c r="G48" i="9"/>
  <c r="H48" i="9"/>
  <c r="I48" i="9"/>
  <c r="C15" i="12"/>
  <c r="F79" i="9"/>
  <c r="G79" i="9"/>
  <c r="H79" i="9"/>
  <c r="I79" i="9"/>
  <c r="E14" i="12"/>
  <c r="F63" i="9"/>
  <c r="G63" i="9"/>
  <c r="H63" i="9"/>
  <c r="I63" i="9"/>
  <c r="D14" i="12"/>
  <c r="F15" i="9"/>
  <c r="G15" i="9"/>
  <c r="H15" i="9"/>
  <c r="I15" i="9"/>
  <c r="F31" i="9"/>
  <c r="G31" i="9"/>
  <c r="H31" i="9"/>
  <c r="I31" i="9"/>
  <c r="F47" i="9"/>
  <c r="G47" i="9"/>
  <c r="H47" i="9"/>
  <c r="I47" i="9"/>
  <c r="C14" i="12"/>
  <c r="F78" i="9"/>
  <c r="G78" i="9"/>
  <c r="H78" i="9"/>
  <c r="I78" i="9"/>
  <c r="E13" i="12"/>
  <c r="F62" i="9"/>
  <c r="G62" i="9"/>
  <c r="H62" i="9"/>
  <c r="I62" i="9"/>
  <c r="D13" i="12"/>
  <c r="F14" i="9"/>
  <c r="G14" i="9"/>
  <c r="H14" i="9"/>
  <c r="I14" i="9"/>
  <c r="F30" i="9"/>
  <c r="G30" i="9"/>
  <c r="H30" i="9"/>
  <c r="I30" i="9"/>
  <c r="F46" i="9"/>
  <c r="G46" i="9"/>
  <c r="H46" i="9"/>
  <c r="I46" i="9"/>
  <c r="C13" i="12"/>
  <c r="F77" i="9"/>
  <c r="G77" i="9"/>
  <c r="H77" i="9"/>
  <c r="I77" i="9"/>
  <c r="E12" i="12"/>
  <c r="F61" i="9"/>
  <c r="G61" i="9"/>
  <c r="H61" i="9"/>
  <c r="I61" i="9"/>
  <c r="D12" i="12"/>
  <c r="F13" i="9"/>
  <c r="G13" i="9"/>
  <c r="H13" i="9"/>
  <c r="I13" i="9"/>
  <c r="F29" i="9"/>
  <c r="G29" i="9"/>
  <c r="H29" i="9"/>
  <c r="I29" i="9"/>
  <c r="F45" i="9"/>
  <c r="G45" i="9"/>
  <c r="H45" i="9"/>
  <c r="I45" i="9"/>
  <c r="C12" i="12"/>
  <c r="F76" i="9"/>
  <c r="G76" i="9"/>
  <c r="H76" i="9"/>
  <c r="I76" i="9"/>
  <c r="E11" i="12"/>
  <c r="F60" i="9"/>
  <c r="G60" i="9"/>
  <c r="H60" i="9"/>
  <c r="I60" i="9"/>
  <c r="D11" i="12"/>
  <c r="F12" i="9"/>
  <c r="G12" i="9"/>
  <c r="H12" i="9"/>
  <c r="I12" i="9"/>
  <c r="F28" i="9"/>
  <c r="G28" i="9"/>
  <c r="H28" i="9"/>
  <c r="I28" i="9"/>
  <c r="F44" i="9"/>
  <c r="G44" i="9"/>
  <c r="H44" i="9"/>
  <c r="I44" i="9"/>
  <c r="C11" i="12"/>
  <c r="F75" i="9"/>
  <c r="G75" i="9"/>
  <c r="H75" i="9"/>
  <c r="I75" i="9"/>
  <c r="E10" i="12"/>
  <c r="F59" i="9"/>
  <c r="G59" i="9"/>
  <c r="H59" i="9"/>
  <c r="I59" i="9"/>
  <c r="D10" i="12"/>
  <c r="F11" i="9"/>
  <c r="G11" i="9"/>
  <c r="H11" i="9"/>
  <c r="I11" i="9"/>
  <c r="F27" i="9"/>
  <c r="G27" i="9"/>
  <c r="H27" i="9"/>
  <c r="I27" i="9"/>
  <c r="F43" i="9"/>
  <c r="G43" i="9"/>
  <c r="H43" i="9"/>
  <c r="I43" i="9"/>
  <c r="C10" i="12"/>
  <c r="F74" i="9"/>
  <c r="G74" i="9"/>
  <c r="H74" i="9"/>
  <c r="I74" i="9"/>
  <c r="E9" i="12"/>
  <c r="F58" i="9"/>
  <c r="G58" i="9"/>
  <c r="H58" i="9"/>
  <c r="I58" i="9"/>
  <c r="D9" i="12"/>
  <c r="F10" i="9"/>
  <c r="G10" i="9"/>
  <c r="H10" i="9"/>
  <c r="I10" i="9"/>
  <c r="F26" i="9"/>
  <c r="G26" i="9"/>
  <c r="H26" i="9"/>
  <c r="I26" i="9"/>
  <c r="F42" i="9"/>
  <c r="G42" i="9"/>
  <c r="H42" i="9"/>
  <c r="I42" i="9"/>
  <c r="C9" i="12"/>
  <c r="F73" i="9"/>
  <c r="G73" i="9"/>
  <c r="H73" i="9"/>
  <c r="I73" i="9"/>
  <c r="E8" i="12"/>
  <c r="F57" i="9"/>
  <c r="G57" i="9"/>
  <c r="H57" i="9"/>
  <c r="I57" i="9"/>
  <c r="D8" i="12"/>
  <c r="F9" i="9"/>
  <c r="G9" i="9"/>
  <c r="H9" i="9"/>
  <c r="I9" i="9"/>
  <c r="F25" i="9"/>
  <c r="G25" i="9"/>
  <c r="H25" i="9"/>
  <c r="I25" i="9"/>
  <c r="F41" i="9"/>
  <c r="G41" i="9"/>
  <c r="H41" i="9"/>
  <c r="I41" i="9"/>
  <c r="C8" i="12"/>
  <c r="F72" i="9"/>
  <c r="G72" i="9"/>
  <c r="H72" i="9"/>
  <c r="I72" i="9"/>
  <c r="E7" i="12"/>
  <c r="F56" i="9"/>
  <c r="G56" i="9"/>
  <c r="H56" i="9"/>
  <c r="I56" i="9"/>
  <c r="D7" i="12"/>
  <c r="F8" i="9"/>
  <c r="G8" i="9"/>
  <c r="H8" i="9"/>
  <c r="I8" i="9"/>
  <c r="F24" i="9"/>
  <c r="G24" i="9"/>
  <c r="H24" i="9"/>
  <c r="I24" i="9"/>
  <c r="F40" i="9"/>
  <c r="G40" i="9"/>
  <c r="H40" i="9"/>
  <c r="I40" i="9"/>
  <c r="C7" i="12"/>
  <c r="F71" i="9"/>
  <c r="G71" i="9"/>
  <c r="H71" i="9"/>
  <c r="I71" i="9"/>
  <c r="E6" i="12"/>
  <c r="F55" i="9"/>
  <c r="G55" i="9"/>
  <c r="H55" i="9"/>
  <c r="I55" i="9"/>
  <c r="D6" i="12"/>
  <c r="F7" i="9"/>
  <c r="G7" i="9"/>
  <c r="H7" i="9"/>
  <c r="I7" i="9"/>
  <c r="F23" i="9"/>
  <c r="G23" i="9"/>
  <c r="H23" i="9"/>
  <c r="I23" i="9"/>
  <c r="F39" i="9"/>
  <c r="G39" i="9"/>
  <c r="H39" i="9"/>
  <c r="I39" i="9"/>
  <c r="C6" i="12"/>
  <c r="F70" i="9"/>
  <c r="G70" i="9"/>
  <c r="H70" i="9"/>
  <c r="I70" i="9"/>
  <c r="E5" i="12"/>
  <c r="F54" i="9"/>
  <c r="G54" i="9"/>
  <c r="H54" i="9"/>
  <c r="I54" i="9"/>
  <c r="D5" i="12"/>
  <c r="F6" i="9"/>
  <c r="G6" i="9"/>
  <c r="H6" i="9"/>
  <c r="I6" i="9"/>
  <c r="F22" i="9"/>
  <c r="G22" i="9"/>
  <c r="H22" i="9"/>
  <c r="I22" i="9"/>
  <c r="F38" i="9"/>
  <c r="G38" i="9"/>
  <c r="H38" i="9"/>
  <c r="I38" i="9"/>
  <c r="C5" i="12"/>
  <c r="F69" i="9"/>
  <c r="G69" i="9"/>
  <c r="H69" i="9"/>
  <c r="I69" i="9"/>
  <c r="E4" i="12"/>
  <c r="F53" i="9"/>
  <c r="G53" i="9"/>
  <c r="H53" i="9"/>
  <c r="I53" i="9"/>
  <c r="D4" i="12"/>
  <c r="F5" i="9"/>
  <c r="G5" i="9"/>
  <c r="H5" i="9"/>
  <c r="I5" i="9"/>
  <c r="F21" i="9"/>
  <c r="G21" i="9"/>
  <c r="H21" i="9"/>
  <c r="I21" i="9"/>
  <c r="F37" i="9"/>
  <c r="G37" i="9"/>
  <c r="H37" i="9"/>
  <c r="I37" i="9"/>
  <c r="C4" i="12"/>
  <c r="F68" i="9"/>
  <c r="G68" i="9"/>
  <c r="H68" i="9"/>
  <c r="I68" i="9"/>
  <c r="E3" i="12"/>
  <c r="F52" i="9"/>
  <c r="G52" i="9"/>
  <c r="H52" i="9"/>
  <c r="I52" i="9"/>
  <c r="D3" i="12"/>
  <c r="F4" i="9"/>
  <c r="G4" i="9"/>
  <c r="H4" i="9"/>
  <c r="I4" i="9"/>
  <c r="F20" i="9"/>
  <c r="G20" i="9"/>
  <c r="H20" i="9"/>
  <c r="I20" i="9"/>
  <c r="F36" i="9"/>
  <c r="G36" i="9"/>
  <c r="H36" i="9"/>
  <c r="I36" i="9"/>
  <c r="C3" i="12"/>
  <c r="F67" i="9"/>
  <c r="G67" i="9"/>
  <c r="H67" i="9"/>
  <c r="I67" i="9"/>
  <c r="E2" i="12"/>
  <c r="F51" i="9"/>
  <c r="G51" i="9"/>
  <c r="H51" i="9"/>
  <c r="I51" i="9"/>
  <c r="D2" i="12"/>
  <c r="F3" i="9"/>
  <c r="G3" i="9"/>
  <c r="H3" i="9"/>
  <c r="I3" i="9"/>
  <c r="F19" i="9"/>
  <c r="G19" i="9"/>
  <c r="H19" i="9"/>
  <c r="I19" i="9"/>
  <c r="F35" i="9"/>
  <c r="G35" i="9"/>
  <c r="H35" i="9"/>
  <c r="I35" i="9"/>
  <c r="C2" i="12"/>
  <c r="F83" i="9"/>
  <c r="G83" i="9"/>
  <c r="H83" i="9"/>
  <c r="F84" i="9"/>
  <c r="G84" i="9"/>
  <c r="H84" i="9"/>
  <c r="F85" i="9"/>
  <c r="G85" i="9"/>
  <c r="H85" i="9"/>
  <c r="F86" i="9"/>
  <c r="G86" i="9"/>
  <c r="H86" i="9"/>
  <c r="F87" i="9"/>
  <c r="G87" i="9"/>
  <c r="H87" i="9"/>
  <c r="F88" i="9"/>
  <c r="G88" i="9"/>
  <c r="H88" i="9"/>
  <c r="F89" i="9"/>
  <c r="G89" i="9"/>
  <c r="H89" i="9"/>
  <c r="F90" i="9"/>
  <c r="G90" i="9"/>
  <c r="H90" i="9"/>
  <c r="F91" i="9"/>
  <c r="G91" i="9"/>
  <c r="H91" i="9"/>
  <c r="F92" i="9"/>
  <c r="G92" i="9"/>
  <c r="H92" i="9"/>
  <c r="F93" i="9"/>
  <c r="G93" i="9"/>
  <c r="H93" i="9"/>
  <c r="F94" i="9"/>
  <c r="G94" i="9"/>
  <c r="H94" i="9"/>
  <c r="F95" i="9"/>
  <c r="G95" i="9"/>
  <c r="H95" i="9"/>
  <c r="F96" i="9"/>
  <c r="G96" i="9"/>
  <c r="H96" i="9"/>
  <c r="F97" i="9"/>
  <c r="G97" i="9"/>
  <c r="H97" i="9"/>
  <c r="F98" i="9"/>
  <c r="G98" i="9"/>
  <c r="H98" i="9"/>
  <c r="F99" i="9"/>
  <c r="G99" i="9"/>
  <c r="H99" i="9"/>
  <c r="F100" i="9"/>
  <c r="G100" i="9"/>
  <c r="H100" i="9"/>
  <c r="F101" i="9"/>
  <c r="G101" i="9"/>
  <c r="H101" i="9"/>
  <c r="I101" i="9"/>
  <c r="I100" i="9"/>
  <c r="I99" i="9"/>
  <c r="C18" i="12"/>
  <c r="I98" i="9"/>
  <c r="C17" i="12"/>
  <c r="I97" i="9"/>
  <c r="I96" i="9"/>
  <c r="I95" i="9"/>
  <c r="I94" i="9"/>
  <c r="I93" i="9"/>
  <c r="I92" i="9"/>
  <c r="I91" i="9"/>
  <c r="I90" i="9"/>
  <c r="I89" i="9"/>
  <c r="I88" i="9"/>
  <c r="I87" i="9"/>
  <c r="I86" i="9"/>
  <c r="I85" i="9"/>
  <c r="I83" i="9"/>
  <c r="E21" i="12"/>
  <c r="D21" i="12"/>
  <c r="C21" i="12"/>
  <c r="E20" i="12"/>
  <c r="D20" i="12"/>
  <c r="C20" i="12"/>
  <c r="C44" i="12"/>
  <c r="F21" i="12"/>
  <c r="F20" i="12"/>
  <c r="C38" i="12"/>
  <c r="C39" i="12"/>
  <c r="C40" i="12"/>
  <c r="C41" i="12"/>
  <c r="C42" i="12"/>
  <c r="H6" i="11"/>
  <c r="G6" i="11"/>
  <c r="H5" i="11"/>
  <c r="G5" i="11"/>
  <c r="H4" i="11"/>
  <c r="G4" i="11"/>
  <c r="H3" i="11"/>
  <c r="G3" i="11"/>
  <c r="H2" i="11"/>
  <c r="G2" i="11"/>
  <c r="I84" i="9"/>
</calcChain>
</file>

<file path=xl/sharedStrings.xml><?xml version="1.0" encoding="utf-8"?>
<sst xmlns="http://schemas.openxmlformats.org/spreadsheetml/2006/main" count="506" uniqueCount="149">
  <si>
    <t>1</t>
  </si>
  <si>
    <t>2</t>
  </si>
  <si>
    <t>FY16</t>
  </si>
  <si>
    <t>FY17</t>
  </si>
  <si>
    <t>FY17 Addl</t>
  </si>
  <si>
    <t>EmpTypeOrder</t>
  </si>
  <si>
    <t>EmpTypeName</t>
  </si>
  <si>
    <t>COLL</t>
  </si>
  <si>
    <t>COLL_NAME</t>
  </si>
  <si>
    <t>Salary</t>
  </si>
  <si>
    <t>Sal Incr</t>
  </si>
  <si>
    <t>Benefits Assoc w Salary Incr</t>
  </si>
  <si>
    <t>Faculty</t>
  </si>
  <si>
    <t>254</t>
  </si>
  <si>
    <t xml:space="preserve">COLL ARTS &amp; SCIENCES          </t>
  </si>
  <si>
    <t>255</t>
  </si>
  <si>
    <t xml:space="preserve">EDUCATIONAL OUTREACH          </t>
  </si>
  <si>
    <t>256</t>
  </si>
  <si>
    <t xml:space="preserve">FOSTER BUSINESS SCHOOL        </t>
  </si>
  <si>
    <t>258</t>
  </si>
  <si>
    <t xml:space="preserve">COLLEGE OF EDUCATION          </t>
  </si>
  <si>
    <t>260</t>
  </si>
  <si>
    <t xml:space="preserve">COLLEGE OF ENGINEERING        </t>
  </si>
  <si>
    <t>263</t>
  </si>
  <si>
    <t xml:space="preserve">COLLEGE OF ENVIRONMENT        </t>
  </si>
  <si>
    <t>267</t>
  </si>
  <si>
    <t xml:space="preserve">THE INFORMATION SCHOOL        </t>
  </si>
  <si>
    <t>268</t>
  </si>
  <si>
    <t xml:space="preserve">SCHOOL OF LAW                 </t>
  </si>
  <si>
    <t>270</t>
  </si>
  <si>
    <t xml:space="preserve">EVANS SCH PUBPOL &amp; GOV        </t>
  </si>
  <si>
    <t>272</t>
  </si>
  <si>
    <t xml:space="preserve">SCHOOL OF SOCIAL WORK         </t>
  </si>
  <si>
    <t>302</t>
  </si>
  <si>
    <t xml:space="preserve">SCHOOL OF DENTISTRY           </t>
  </si>
  <si>
    <t>304</t>
  </si>
  <si>
    <t xml:space="preserve">SCHOOL OF MEDICINE            </t>
  </si>
  <si>
    <t>306</t>
  </si>
  <si>
    <t xml:space="preserve">SCHOOL OF NURSING             </t>
  </si>
  <si>
    <t>308</t>
  </si>
  <si>
    <t xml:space="preserve">SCHOOL OF PHARMACY            </t>
  </si>
  <si>
    <t>310</t>
  </si>
  <si>
    <t xml:space="preserve">SCH OF PUBLIC HEALTH          </t>
  </si>
  <si>
    <t>400</t>
  </si>
  <si>
    <t>CENTRAL/ADMINISTRATION</t>
  </si>
  <si>
    <t>401</t>
  </si>
  <si>
    <t>DEANS/CHANCELLORS</t>
  </si>
  <si>
    <t>500</t>
  </si>
  <si>
    <t>UW BOTHELL</t>
  </si>
  <si>
    <t>600</t>
  </si>
  <si>
    <t>UW TACOMA</t>
  </si>
  <si>
    <t>Auxiliary Teaching Staff</t>
  </si>
  <si>
    <t>3</t>
  </si>
  <si>
    <t>Professional Staff</t>
  </si>
  <si>
    <t>4</t>
  </si>
  <si>
    <t>Classified Staff</t>
  </si>
  <si>
    <t>5</t>
  </si>
  <si>
    <t>Academic Student Employees</t>
  </si>
  <si>
    <t>AcctCodeCalcGp</t>
  </si>
  <si>
    <t>FY15</t>
  </si>
  <si>
    <t>ChgRate FY16</t>
  </si>
  <si>
    <t>ChgRate FY17</t>
  </si>
  <si>
    <t>AuxTeaching</t>
  </si>
  <si>
    <t>Professional</t>
  </si>
  <si>
    <t>Union</t>
  </si>
  <si>
    <t>ASE</t>
  </si>
  <si>
    <t>Increase - Faculty &amp; Professional</t>
  </si>
  <si>
    <t>Increase - Classified</t>
  </si>
  <si>
    <t>Increase - ASEs</t>
  </si>
  <si>
    <t>Salary Increases</t>
  </si>
  <si>
    <t>Assumptions</t>
  </si>
  <si>
    <t>% of increase covered for administrative/central units</t>
  </si>
  <si>
    <t>Permanent PRF Required</t>
  </si>
  <si>
    <t>Academic units - supplement to reach baseline %</t>
  </si>
  <si>
    <t>Central/Administrative Units</t>
  </si>
  <si>
    <t>Central/admin units - supplement to reach baseline %</t>
  </si>
  <si>
    <t>Deans/Chancellors</t>
  </si>
  <si>
    <t>Central/admin units - shortfall</t>
  </si>
  <si>
    <t>Central/admin units - DOF positions</t>
  </si>
  <si>
    <t>Total permanent cost to Provost</t>
  </si>
  <si>
    <t>Central/Administrative Units - DOF</t>
  </si>
  <si>
    <t>Deans/Chancellors - DOF</t>
  </si>
  <si>
    <t>Additional temporary funds to cover academic unit shortfalls</t>
  </si>
  <si>
    <t>Salary Increase (includes associated benefit increase)</t>
  </si>
  <si>
    <t>Note that loss from true-up to PRF not noted</t>
  </si>
  <si>
    <t>-1.933m</t>
  </si>
  <si>
    <t>SPREADSHEET TITLE</t>
  </si>
  <si>
    <t>Created by</t>
  </si>
  <si>
    <t>Carol Diem</t>
  </si>
  <si>
    <t>Contact</t>
  </si>
  <si>
    <t>cdiem@uw.edu</t>
  </si>
  <si>
    <t>Date created</t>
  </si>
  <si>
    <t>Purpose</t>
  </si>
  <si>
    <t>Source data</t>
  </si>
  <si>
    <t>TuitSalModel.xlsx</t>
  </si>
  <si>
    <t>Information about salaries are derived from BGT. As of October 5, 2015, and download of budgeted positions and associated salaries was pulled from BGT. This, in combination with projected benefit load rates for FY17 form the basis of the estimated cost of salary increases.</t>
  </si>
  <si>
    <t>This spreadsheet allows the user to see the cost of various salary increases for Seattle administrative units.</t>
  </si>
  <si>
    <t>200</t>
  </si>
  <si>
    <t xml:space="preserve">President                     </t>
  </si>
  <si>
    <t>201</t>
  </si>
  <si>
    <t xml:space="preserve">ATTORNEY GENERAL              </t>
  </si>
  <si>
    <t>202</t>
  </si>
  <si>
    <t xml:space="preserve">PROVOST                       </t>
  </si>
  <si>
    <t>203</t>
  </si>
  <si>
    <t xml:space="preserve">PLANNING AND MANAGEMNT        </t>
  </si>
  <si>
    <t>206</t>
  </si>
  <si>
    <t xml:space="preserve">VP MINORITY AFFAIRS           </t>
  </si>
  <si>
    <t>207</t>
  </si>
  <si>
    <t xml:space="preserve">DEAN OF LIBRARIES             </t>
  </si>
  <si>
    <t>208</t>
  </si>
  <si>
    <t xml:space="preserve">UW FINANCE&amp;FACILITIES         </t>
  </si>
  <si>
    <t>209</t>
  </si>
  <si>
    <t xml:space="preserve">HUMAN RESOURCES               </t>
  </si>
  <si>
    <t>210</t>
  </si>
  <si>
    <t xml:space="preserve">UW INFO TECH                  </t>
  </si>
  <si>
    <t>212</t>
  </si>
  <si>
    <t xml:space="preserve">VP STUDENT LIFE               </t>
  </si>
  <si>
    <t>214</t>
  </si>
  <si>
    <t xml:space="preserve">EXTERNAL AFFAIRS              </t>
  </si>
  <si>
    <t>215</t>
  </si>
  <si>
    <t xml:space="preserve">VP FOR DEVELOPMENT            </t>
  </si>
  <si>
    <t>216</t>
  </si>
  <si>
    <t xml:space="preserve">VICE PROVOST-RESEARCH         </t>
  </si>
  <si>
    <t>217</t>
  </si>
  <si>
    <t xml:space="preserve">COMOTION                      </t>
  </si>
  <si>
    <t>301</t>
  </si>
  <si>
    <t xml:space="preserve">HEALTH SCIENCES ADMIN         </t>
  </si>
  <si>
    <t>303</t>
  </si>
  <si>
    <t xml:space="preserve">UW MEDICINE CB                </t>
  </si>
  <si>
    <t>President's Office</t>
  </si>
  <si>
    <t>Attorney General</t>
  </si>
  <si>
    <t>Provost</t>
  </si>
  <si>
    <t>Planning and Management</t>
  </si>
  <si>
    <t>Minority Affairs</t>
  </si>
  <si>
    <t>Libraries</t>
  </si>
  <si>
    <t>Finance and Facilities</t>
  </si>
  <si>
    <t>Human Resources</t>
  </si>
  <si>
    <t>UW IT</t>
  </si>
  <si>
    <t>Student Life</t>
  </si>
  <si>
    <t>External Affairs</t>
  </si>
  <si>
    <t>Development</t>
  </si>
  <si>
    <t>Research</t>
  </si>
  <si>
    <t>CoMotion</t>
  </si>
  <si>
    <t>Health Sciences Administration</t>
  </si>
  <si>
    <t>UW Medicine</t>
  </si>
  <si>
    <t>FY17 Cost of Salary and Benefit Increases for Admin Units 
GOF and DOF Salaries</t>
  </si>
  <si>
    <t>Note that the cost of salary increases to deans, chancellors, and VPs are excluded from these calculations.</t>
  </si>
  <si>
    <t>Provost Support</t>
  </si>
  <si>
    <t>Gap</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</si>
</sst>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_-* #,##0.00_-;\-* #,##0.00_-;_-* &quot;-&quot;??_-;_-@_-"/>
    <numFmt numFmtId="165" formatCode="&quot;$&quot;#,##0"/>
    <numFmt numFmtId="166" formatCode="_-* #,##0_-;\-* #,##0_-;_-* &quot;-&quot;??_-;_-@_-"/>
    <numFmt numFmtId="167" formatCode="0.0%"/>
    <numFmt numFmtId="172" formatCode="0.000"/>
    <numFmt numFmtId="174" formatCode="&quot;$&quot;#,##0.0,,&quot;m&quot;;[Red]\-&quot;$&quot;#,##0.0,,&quot;m&quot;"/>
  </numFmts>
  <fonts count="16" x14ac:knownFonts="1">
    <font>
      <sz val="11"/>
      <color theme="1"/>
      <name val="Calibri"/>
      <family val="2"/>
      <scheme val="minor"/>
    </font>
    <font>
      <sz val="11"/>
      <color indexed="8"/>
      <name val="Calibri"/>
    </font>
    <font>
      <sz val="10"/>
      <color indexed="8"/>
      <name val="Arial"/>
    </font>
    <font>
      <sz val="11"/>
      <color theme="1"/>
      <name val="Calibri"/>
      <family val="2"/>
      <scheme val="minor"/>
    </font>
    <font>
      <b/>
      <sz val="11"/>
      <color theme="1"/>
      <name val="Calibri"/>
      <family val="2"/>
      <scheme val="minor"/>
    </font>
    <font>
      <sz val="11"/>
      <color theme="1"/>
      <name val="Calibri"/>
      <family val="2"/>
    </font>
    <font>
      <sz val="10"/>
      <name val="Verdana"/>
      <family val="2"/>
    </font>
    <font>
      <sz val="10"/>
      <color theme="1"/>
      <name val="Calibri"/>
      <family val="2"/>
    </font>
    <font>
      <sz val="9"/>
      <color theme="1"/>
      <name val="Calibri"/>
      <family val="2"/>
    </font>
    <font>
      <sz val="10"/>
      <color indexed="8"/>
      <name val="Calibri"/>
      <family val="2"/>
    </font>
    <font>
      <b/>
      <sz val="9"/>
      <color theme="1"/>
      <name val="Calibri"/>
      <family val="2"/>
    </font>
    <font>
      <sz val="9"/>
      <color indexed="8"/>
      <name val="Calibri"/>
      <family val="2"/>
    </font>
    <font>
      <b/>
      <sz val="10"/>
      <color indexed="8"/>
      <name val="Calibri"/>
      <family val="2"/>
    </font>
    <font>
      <i/>
      <sz val="11"/>
      <color theme="1"/>
      <name val="Calibri"/>
      <family val="2"/>
      <scheme val="minor"/>
    </font>
    <font>
      <u/>
      <sz val="11"/>
      <color theme="10"/>
      <name val="Calibri"/>
      <family val="2"/>
      <scheme val="minor"/>
    </font>
    <font>
      <b/>
      <sz val="12"/>
      <color theme="1"/>
      <name val="Calibri"/>
      <family val="2"/>
    </font>
  </fonts>
  <fills count="9">
    <fill>
      <patternFill patternType="none"/>
    </fill>
    <fill>
      <patternFill patternType="gray125"/>
    </fill>
    <fill>
      <patternFill patternType="solid">
        <fgColor rgb="FFFFFFC2"/>
        <bgColor indexed="64"/>
      </patternFill>
    </fill>
    <fill>
      <patternFill patternType="solid">
        <fgColor indexed="22"/>
        <bgColor indexed="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indexed="0"/>
      </patternFill>
    </fill>
    <fill>
      <patternFill patternType="solid">
        <fgColor rgb="FFEAE5EF"/>
        <bgColor indexed="64"/>
      </patternFill>
    </fill>
    <fill>
      <patternFill patternType="solid">
        <fgColor rgb="FFE8CAF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22"/>
      </left>
      <right style="thin">
        <color indexed="22"/>
      </right>
      <top/>
      <bottom/>
      <diagonal/>
    </border>
    <border>
      <left style="thin">
        <color auto="1"/>
      </left>
      <right style="thin">
        <color auto="1"/>
      </right>
      <top style="thin">
        <color auto="1"/>
      </top>
      <bottom style="thin">
        <color theme="0" tint="-0.14996795556505021"/>
      </bottom>
      <diagonal/>
    </border>
    <border>
      <left style="thin">
        <color auto="1"/>
      </left>
      <right/>
      <top style="thin">
        <color auto="1"/>
      </top>
      <bottom style="thin">
        <color auto="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auto="1"/>
      </left>
      <right style="thin">
        <color auto="1"/>
      </right>
      <top/>
      <bottom style="thin">
        <color theme="0" tint="-0.14996795556505021"/>
      </bottom>
      <diagonal/>
    </border>
    <border>
      <left style="thin">
        <color auto="1"/>
      </left>
      <right/>
      <top/>
      <bottom/>
      <diagonal/>
    </border>
  </borders>
  <cellStyleXfs count="17">
    <xf numFmtId="0" fontId="0" fillId="0" borderId="0"/>
    <xf numFmtId="164" fontId="3" fillId="0" borderId="0" applyFont="0" applyFill="0" applyBorder="0" applyAlignment="0" applyProtection="0"/>
    <xf numFmtId="0" fontId="5" fillId="0" borderId="0"/>
    <xf numFmtId="43" fontId="5" fillId="0" borderId="0" applyFont="0" applyFill="0" applyBorder="0" applyAlignment="0" applyProtection="0"/>
    <xf numFmtId="0" fontId="2" fillId="0" borderId="0"/>
    <xf numFmtId="0" fontId="2" fillId="0" borderId="0"/>
    <xf numFmtId="44" fontId="5" fillId="0" borderId="0" applyFont="0" applyFill="0" applyBorder="0" applyAlignment="0" applyProtection="0"/>
    <xf numFmtId="43" fontId="3" fillId="0" borderId="0" applyFont="0" applyFill="0" applyBorder="0" applyAlignment="0" applyProtection="0"/>
    <xf numFmtId="0" fontId="1" fillId="0" borderId="0"/>
    <xf numFmtId="0" fontId="6" fillId="0" borderId="0"/>
    <xf numFmtId="0" fontId="1" fillId="0" borderId="0"/>
    <xf numFmtId="0" fontId="3" fillId="0" borderId="0"/>
    <xf numFmtId="0" fontId="2" fillId="0" borderId="0"/>
    <xf numFmtId="0" fontId="2" fillId="0" borderId="0"/>
    <xf numFmtId="0" fontId="3" fillId="0" borderId="0"/>
    <xf numFmtId="0" fontId="14" fillId="0" borderId="0" applyNumberFormat="0" applyFill="0" applyBorder="0" applyAlignment="0" applyProtection="0"/>
    <xf numFmtId="0" fontId="2" fillId="0" borderId="0"/>
  </cellStyleXfs>
  <cellXfs count="112">
    <xf numFmtId="0" fontId="0" fillId="0" borderId="0" xfId="0"/>
    <xf numFmtId="0" fontId="5" fillId="5" borderId="1" xfId="2" applyFill="1" applyBorder="1"/>
    <xf numFmtId="165" fontId="0" fillId="5" borderId="1" xfId="3" applyNumberFormat="1" applyFont="1" applyFill="1" applyBorder="1" applyAlignment="1">
      <alignment horizontal="center" vertical="center" wrapText="1"/>
    </xf>
    <xf numFmtId="165" fontId="5" fillId="5" borderId="1" xfId="2" applyNumberFormat="1" applyFill="1" applyBorder="1" applyAlignment="1">
      <alignment horizontal="center" vertical="center" wrapText="1"/>
    </xf>
    <xf numFmtId="0" fontId="5" fillId="5" borderId="1" xfId="2" applyFill="1" applyBorder="1" applyAlignment="1">
      <alignment horizontal="center" vertical="center" wrapText="1"/>
    </xf>
    <xf numFmtId="0" fontId="5" fillId="0" borderId="0" xfId="2"/>
    <xf numFmtId="0" fontId="1" fillId="3" borderId="4" xfId="4" applyFont="1" applyFill="1" applyBorder="1" applyAlignment="1">
      <alignment horizontal="center"/>
    </xf>
    <xf numFmtId="165" fontId="1" fillId="3" borderId="4" xfId="3" applyNumberFormat="1" applyFont="1" applyFill="1" applyBorder="1" applyAlignment="1">
      <alignment horizontal="center"/>
    </xf>
    <xf numFmtId="165" fontId="1" fillId="6" borderId="1" xfId="5" applyNumberFormat="1" applyFont="1" applyFill="1" applyBorder="1" applyAlignment="1">
      <alignment horizontal="center" wrapText="1"/>
    </xf>
    <xf numFmtId="0" fontId="1" fillId="6" borderId="1" xfId="5" applyFont="1" applyFill="1" applyBorder="1" applyAlignment="1">
      <alignment horizontal="center" wrapText="1"/>
    </xf>
    <xf numFmtId="0" fontId="5" fillId="0" borderId="0" xfId="2" applyAlignment="1">
      <alignment wrapText="1"/>
    </xf>
    <xf numFmtId="0" fontId="1" fillId="0" borderId="5" xfId="4" applyFont="1" applyFill="1" applyBorder="1" applyAlignment="1">
      <alignment wrapText="1"/>
    </xf>
    <xf numFmtId="165" fontId="1" fillId="0" borderId="5" xfId="3" applyNumberFormat="1" applyFont="1" applyFill="1" applyBorder="1" applyAlignment="1">
      <alignment horizontal="right" wrapText="1"/>
    </xf>
    <xf numFmtId="165" fontId="0" fillId="0" borderId="0" xfId="6" applyNumberFormat="1" applyFont="1"/>
    <xf numFmtId="165" fontId="5" fillId="0" borderId="0" xfId="2" applyNumberFormat="1"/>
    <xf numFmtId="165" fontId="0" fillId="0" borderId="0" xfId="3" applyNumberFormat="1" applyFont="1"/>
    <xf numFmtId="0" fontId="1" fillId="3" borderId="4" xfId="12" applyFont="1" applyFill="1" applyBorder="1" applyAlignment="1">
      <alignment horizontal="center"/>
    </xf>
    <xf numFmtId="0" fontId="1" fillId="3" borderId="9" xfId="12" applyFont="1" applyFill="1" applyBorder="1" applyAlignment="1">
      <alignment horizontal="center"/>
    </xf>
    <xf numFmtId="0" fontId="1" fillId="0" borderId="5" xfId="12" applyFont="1" applyFill="1" applyBorder="1" applyAlignment="1">
      <alignment wrapText="1"/>
    </xf>
    <xf numFmtId="0" fontId="1" fillId="0" borderId="5" xfId="5" applyFont="1" applyFill="1" applyBorder="1" applyAlignment="1">
      <alignment wrapText="1"/>
    </xf>
    <xf numFmtId="0" fontId="1" fillId="0" borderId="5" xfId="12" applyFont="1" applyFill="1" applyBorder="1" applyAlignment="1">
      <alignment horizontal="right" wrapText="1"/>
    </xf>
    <xf numFmtId="0" fontId="1" fillId="0" borderId="0" xfId="12" applyFont="1" applyFill="1" applyBorder="1" applyAlignment="1">
      <alignment horizontal="right" wrapText="1"/>
    </xf>
    <xf numFmtId="0" fontId="1" fillId="0" borderId="10" xfId="12" applyFont="1" applyFill="1" applyBorder="1" applyAlignment="1">
      <alignment wrapText="1"/>
    </xf>
    <xf numFmtId="0" fontId="1" fillId="0" borderId="10" xfId="5" applyFont="1" applyFill="1" applyBorder="1" applyAlignment="1">
      <alignment wrapText="1"/>
    </xf>
    <xf numFmtId="172" fontId="1" fillId="0" borderId="10" xfId="12" applyNumberFormat="1" applyFont="1" applyFill="1" applyBorder="1" applyAlignment="1">
      <alignment wrapText="1"/>
    </xf>
    <xf numFmtId="172" fontId="1" fillId="0" borderId="10" xfId="12" applyNumberFormat="1" applyFont="1" applyFill="1" applyBorder="1" applyAlignment="1">
      <alignment horizontal="right" wrapText="1"/>
    </xf>
    <xf numFmtId="172" fontId="5" fillId="0" borderId="0" xfId="2" applyNumberFormat="1"/>
    <xf numFmtId="174" fontId="9" fillId="0" borderId="13" xfId="13" applyNumberFormat="1" applyFont="1" applyFill="1" applyBorder="1" applyAlignment="1">
      <alignment wrapText="1"/>
    </xf>
    <xf numFmtId="174" fontId="7" fillId="0" borderId="13" xfId="3" applyNumberFormat="1" applyFont="1" applyBorder="1"/>
    <xf numFmtId="174" fontId="7" fillId="0" borderId="16" xfId="3" applyNumberFormat="1" applyFont="1" applyBorder="1"/>
    <xf numFmtId="174" fontId="11" fillId="0" borderId="1" xfId="12" applyNumberFormat="1" applyFont="1" applyFill="1" applyBorder="1" applyAlignment="1">
      <alignment wrapText="1"/>
    </xf>
    <xf numFmtId="174" fontId="8" fillId="0" borderId="1" xfId="3" applyNumberFormat="1" applyFont="1" applyBorder="1"/>
    <xf numFmtId="49" fontId="9" fillId="0" borderId="3" xfId="13" applyNumberFormat="1" applyFont="1" applyFill="1" applyBorder="1" applyAlignment="1">
      <alignment wrapText="1"/>
    </xf>
    <xf numFmtId="174" fontId="7" fillId="7" borderId="16" xfId="3" applyNumberFormat="1" applyFont="1" applyFill="1" applyBorder="1"/>
    <xf numFmtId="174" fontId="9" fillId="7" borderId="3" xfId="13" applyNumberFormat="1" applyFont="1" applyFill="1" applyBorder="1" applyAlignment="1">
      <alignment wrapText="1"/>
    </xf>
    <xf numFmtId="174" fontId="7" fillId="7" borderId="3" xfId="3" applyNumberFormat="1" applyFont="1" applyFill="1" applyBorder="1"/>
    <xf numFmtId="174" fontId="9" fillId="0" borderId="6" xfId="13" applyNumberFormat="1" applyFont="1" applyFill="1" applyBorder="1" applyAlignment="1">
      <alignment wrapText="1"/>
    </xf>
    <xf numFmtId="174" fontId="7" fillId="0" borderId="6" xfId="3" applyNumberFormat="1" applyFont="1" applyBorder="1"/>
    <xf numFmtId="49" fontId="12" fillId="0" borderId="13" xfId="13" applyNumberFormat="1" applyFont="1" applyFill="1" applyBorder="1" applyAlignment="1">
      <alignment wrapText="1"/>
    </xf>
    <xf numFmtId="174" fontId="7" fillId="4" borderId="2" xfId="3" applyNumberFormat="1" applyFont="1" applyFill="1" applyBorder="1"/>
    <xf numFmtId="49" fontId="9" fillId="0" borderId="13" xfId="13" applyNumberFormat="1" applyFont="1" applyFill="1" applyBorder="1" applyAlignment="1">
      <alignment wrapText="1"/>
    </xf>
    <xf numFmtId="174" fontId="7" fillId="4" borderId="6" xfId="3" applyNumberFormat="1" applyFont="1" applyFill="1" applyBorder="1"/>
    <xf numFmtId="49" fontId="9" fillId="0" borderId="0" xfId="13" applyNumberFormat="1" applyFont="1" applyFill="1" applyBorder="1" applyAlignment="1">
      <alignment wrapText="1"/>
    </xf>
    <xf numFmtId="174" fontId="7" fillId="0" borderId="0" xfId="3" applyNumberFormat="1" applyFont="1" applyFill="1" applyBorder="1"/>
    <xf numFmtId="174" fontId="7" fillId="0" borderId="11" xfId="0" applyNumberFormat="1" applyFont="1" applyBorder="1" applyAlignment="1">
      <alignment vertical="center"/>
    </xf>
    <xf numFmtId="174" fontId="7" fillId="0" borderId="1" xfId="0" applyNumberFormat="1" applyFont="1" applyBorder="1" applyAlignment="1">
      <alignment horizontal="center" vertical="center" wrapText="1"/>
    </xf>
    <xf numFmtId="174" fontId="7" fillId="0" borderId="0" xfId="0" applyNumberFormat="1" applyFont="1" applyAlignment="1">
      <alignment vertical="center"/>
    </xf>
    <xf numFmtId="174" fontId="7" fillId="0" borderId="0" xfId="0" applyNumberFormat="1" applyFont="1" applyBorder="1" applyAlignment="1">
      <alignment vertical="center"/>
    </xf>
    <xf numFmtId="174" fontId="7" fillId="0" borderId="0" xfId="0" applyNumberFormat="1" applyFont="1"/>
    <xf numFmtId="0" fontId="8" fillId="0" borderId="0" xfId="0" applyFont="1" applyBorder="1"/>
    <xf numFmtId="0" fontId="8" fillId="0" borderId="1" xfId="0" applyFont="1" applyBorder="1"/>
    <xf numFmtId="174" fontId="8" fillId="0" borderId="0" xfId="0" applyNumberFormat="1" applyFont="1" applyBorder="1"/>
    <xf numFmtId="0" fontId="8" fillId="0" borderId="1" xfId="0" applyFont="1" applyFill="1" applyBorder="1"/>
    <xf numFmtId="174" fontId="8" fillId="0" borderId="1" xfId="0" applyNumberFormat="1" applyFont="1" applyFill="1" applyBorder="1"/>
    <xf numFmtId="174" fontId="7" fillId="0" borderId="0" xfId="0" applyNumberFormat="1" applyFont="1" applyFill="1"/>
    <xf numFmtId="0" fontId="0" fillId="0" borderId="0" xfId="0" applyFill="1"/>
    <xf numFmtId="174" fontId="8" fillId="0" borderId="1" xfId="0" applyNumberFormat="1" applyFont="1" applyBorder="1"/>
    <xf numFmtId="174" fontId="7" fillId="0" borderId="0" xfId="0" applyNumberFormat="1" applyFont="1" applyBorder="1"/>
    <xf numFmtId="174" fontId="7" fillId="4" borderId="2" xfId="0" applyNumberFormat="1" applyFont="1" applyFill="1" applyBorder="1"/>
    <xf numFmtId="174" fontId="8" fillId="0" borderId="0" xfId="0" applyNumberFormat="1" applyFont="1" applyFill="1" applyBorder="1"/>
    <xf numFmtId="174" fontId="7" fillId="4" borderId="6" xfId="0" applyNumberFormat="1" applyFont="1" applyFill="1" applyBorder="1"/>
    <xf numFmtId="174" fontId="7" fillId="0" borderId="0" xfId="0" applyNumberFormat="1" applyFont="1" applyFill="1" applyBorder="1"/>
    <xf numFmtId="0" fontId="0" fillId="0" borderId="0" xfId="0" applyAlignment="1">
      <alignment wrapText="1"/>
    </xf>
    <xf numFmtId="174" fontId="9" fillId="8" borderId="13" xfId="13" applyNumberFormat="1" applyFont="1" applyFill="1" applyBorder="1" applyAlignment="1">
      <alignment wrapText="1"/>
    </xf>
    <xf numFmtId="174" fontId="7" fillId="8" borderId="13" xfId="3" applyNumberFormat="1" applyFont="1" applyFill="1" applyBorder="1"/>
    <xf numFmtId="174" fontId="7" fillId="8" borderId="16" xfId="3" applyNumberFormat="1" applyFont="1" applyFill="1" applyBorder="1"/>
    <xf numFmtId="174" fontId="7" fillId="8" borderId="15" xfId="3" applyNumberFormat="1" applyFont="1" applyFill="1" applyBorder="1"/>
    <xf numFmtId="174" fontId="9" fillId="8" borderId="14" xfId="13" applyNumberFormat="1" applyFont="1" applyFill="1" applyBorder="1" applyAlignment="1">
      <alignment wrapText="1"/>
    </xf>
    <xf numFmtId="174" fontId="9" fillId="8" borderId="15" xfId="13" applyNumberFormat="1" applyFont="1" applyFill="1" applyBorder="1" applyAlignment="1">
      <alignment wrapText="1"/>
    </xf>
    <xf numFmtId="174" fontId="7" fillId="0" borderId="0" xfId="0" quotePrefix="1" applyNumberFormat="1" applyFont="1"/>
    <xf numFmtId="174" fontId="11" fillId="0" borderId="6" xfId="12" applyNumberFormat="1" applyFont="1" applyFill="1" applyBorder="1" applyAlignment="1">
      <alignment wrapText="1"/>
    </xf>
    <xf numFmtId="0" fontId="8" fillId="0" borderId="6" xfId="0" applyFont="1" applyBorder="1"/>
    <xf numFmtId="0" fontId="4" fillId="0" borderId="0" xfId="0" applyFont="1"/>
    <xf numFmtId="0" fontId="13" fillId="0" borderId="0" xfId="0" applyFont="1" applyAlignment="1">
      <alignment wrapText="1"/>
    </xf>
    <xf numFmtId="0" fontId="4" fillId="5" borderId="0" xfId="0" applyFont="1" applyFill="1"/>
    <xf numFmtId="0" fontId="0" fillId="5" borderId="0" xfId="0" applyFill="1" applyAlignment="1">
      <alignment wrapText="1"/>
    </xf>
    <xf numFmtId="0" fontId="13" fillId="0" borderId="0" xfId="0" applyFont="1" applyFill="1" applyAlignment="1">
      <alignment wrapText="1"/>
    </xf>
    <xf numFmtId="0" fontId="14" fillId="0" borderId="0" xfId="15" applyFill="1" applyAlignment="1">
      <alignment wrapText="1"/>
    </xf>
    <xf numFmtId="0" fontId="4" fillId="0" borderId="0" xfId="0" applyFont="1" applyAlignment="1">
      <alignment vertical="top"/>
    </xf>
    <xf numFmtId="0" fontId="13" fillId="0" borderId="0" xfId="0" applyFont="1" applyFill="1" applyAlignment="1">
      <alignment vertical="top" wrapText="1"/>
    </xf>
    <xf numFmtId="14" fontId="13" fillId="0" borderId="0" xfId="0" applyNumberFormat="1" applyFont="1" applyFill="1" applyAlignment="1">
      <alignment wrapText="1"/>
    </xf>
    <xf numFmtId="167" fontId="8" fillId="2" borderId="6" xfId="0" applyNumberFormat="1" applyFont="1" applyFill="1" applyBorder="1"/>
    <xf numFmtId="167" fontId="8" fillId="2" borderId="1" xfId="0" applyNumberFormat="1" applyFont="1" applyFill="1" applyBorder="1"/>
    <xf numFmtId="9" fontId="8" fillId="2" borderId="6" xfId="0" applyNumberFormat="1" applyFont="1" applyFill="1" applyBorder="1"/>
    <xf numFmtId="0" fontId="4" fillId="0" borderId="0" xfId="0" applyFont="1" applyAlignment="1">
      <alignment horizontal="left" vertical="top"/>
    </xf>
    <xf numFmtId="0" fontId="10" fillId="0" borderId="12" xfId="0" applyFont="1" applyBorder="1" applyAlignment="1">
      <alignment horizontal="center"/>
    </xf>
    <xf numFmtId="0" fontId="10" fillId="0" borderId="7" xfId="0" applyFont="1" applyBorder="1" applyAlignment="1">
      <alignment horizontal="center"/>
    </xf>
    <xf numFmtId="174" fontId="10" fillId="0" borderId="12" xfId="3" applyNumberFormat="1" applyFont="1" applyFill="1" applyBorder="1" applyAlignment="1">
      <alignment horizontal="center" vertical="center" wrapText="1"/>
    </xf>
    <xf numFmtId="174" fontId="10" fillId="0" borderId="8" xfId="3" applyNumberFormat="1" applyFont="1" applyFill="1" applyBorder="1" applyAlignment="1">
      <alignment horizontal="center" vertical="center" wrapText="1"/>
    </xf>
    <xf numFmtId="174" fontId="10" fillId="0" borderId="7" xfId="3" applyNumberFormat="1" applyFont="1" applyFill="1" applyBorder="1" applyAlignment="1">
      <alignment horizontal="center" vertical="center" wrapText="1"/>
    </xf>
    <xf numFmtId="0" fontId="10" fillId="0" borderId="8" xfId="0" applyFont="1" applyBorder="1" applyAlignment="1">
      <alignment horizontal="center"/>
    </xf>
    <xf numFmtId="0" fontId="5" fillId="5" borderId="1" xfId="2" applyFill="1" applyBorder="1" applyAlignment="1">
      <alignment horizontal="center" vertical="center" wrapText="1"/>
    </xf>
    <xf numFmtId="0" fontId="1" fillId="0" borderId="5" xfId="16" applyFont="1" applyFill="1" applyBorder="1" applyAlignment="1">
      <alignment wrapText="1"/>
    </xf>
    <xf numFmtId="0" fontId="1" fillId="0" borderId="5" xfId="16" applyFont="1" applyFill="1" applyBorder="1" applyAlignment="1">
      <alignment horizontal="right" wrapText="1"/>
    </xf>
    <xf numFmtId="174" fontId="9" fillId="8" borderId="14" xfId="13" quotePrefix="1" applyNumberFormat="1" applyFont="1" applyFill="1" applyBorder="1" applyAlignment="1">
      <alignment wrapText="1"/>
    </xf>
    <xf numFmtId="174" fontId="9" fillId="0" borderId="3" xfId="13" quotePrefix="1" applyNumberFormat="1" applyFont="1" applyFill="1" applyBorder="1" applyAlignment="1">
      <alignment wrapText="1"/>
    </xf>
    <xf numFmtId="174" fontId="9" fillId="8" borderId="3" xfId="13" quotePrefix="1" applyNumberFormat="1" applyFont="1" applyFill="1" applyBorder="1" applyAlignment="1">
      <alignment wrapText="1"/>
    </xf>
    <xf numFmtId="174" fontId="9" fillId="0" borderId="0" xfId="13" quotePrefix="1" applyNumberFormat="1" applyFont="1" applyFill="1" applyBorder="1" applyAlignment="1">
      <alignment wrapText="1"/>
    </xf>
    <xf numFmtId="174" fontId="7" fillId="8" borderId="14" xfId="3" applyNumberFormat="1" applyFont="1" applyFill="1" applyBorder="1"/>
    <xf numFmtId="174" fontId="15" fillId="0" borderId="1" xfId="0" applyNumberFormat="1" applyFont="1" applyBorder="1" applyAlignment="1">
      <alignment horizontal="center" vertical="center" wrapText="1"/>
    </xf>
    <xf numFmtId="2" fontId="7" fillId="7" borderId="3" xfId="3" applyNumberFormat="1" applyFont="1" applyFill="1" applyBorder="1"/>
    <xf numFmtId="166" fontId="7" fillId="8" borderId="16" xfId="1" applyNumberFormat="1" applyFont="1" applyFill="1" applyBorder="1"/>
    <xf numFmtId="166" fontId="7" fillId="0" borderId="16" xfId="3" applyNumberFormat="1" applyFont="1" applyBorder="1"/>
    <xf numFmtId="166" fontId="7" fillId="8" borderId="16" xfId="3" applyNumberFormat="1" applyFont="1" applyFill="1" applyBorder="1"/>
    <xf numFmtId="166" fontId="7" fillId="7" borderId="16" xfId="3" applyNumberFormat="1" applyFont="1" applyFill="1" applyBorder="1"/>
    <xf numFmtId="166" fontId="7" fillId="0" borderId="6" xfId="3" applyNumberFormat="1" applyFont="1" applyBorder="1"/>
    <xf numFmtId="166" fontId="7" fillId="0" borderId="16" xfId="1" applyNumberFormat="1" applyFont="1" applyBorder="1"/>
    <xf numFmtId="166" fontId="7" fillId="7" borderId="16" xfId="1" applyNumberFormat="1" applyFont="1" applyFill="1" applyBorder="1"/>
    <xf numFmtId="166" fontId="7" fillId="0" borderId="6" xfId="1" applyNumberFormat="1" applyFont="1" applyBorder="1"/>
    <xf numFmtId="166" fontId="7" fillId="8" borderId="2" xfId="1" applyNumberFormat="1" applyFont="1" applyFill="1" applyBorder="1"/>
    <xf numFmtId="166" fontId="7" fillId="0" borderId="3" xfId="1" applyNumberFormat="1" applyFont="1" applyBorder="1"/>
    <xf numFmtId="166" fontId="7" fillId="8" borderId="3" xfId="1" applyNumberFormat="1" applyFont="1" applyFill="1" applyBorder="1"/>
  </cellXfs>
  <cellStyles count="17">
    <cellStyle name="Comma" xfId="1" builtinId="3"/>
    <cellStyle name="Comma 2" xfId="3"/>
    <cellStyle name="Comma 3" xfId="7"/>
    <cellStyle name="Currency 2" xfId="6"/>
    <cellStyle name="Hyperlink" xfId="15" builtinId="8"/>
    <cellStyle name="Normal" xfId="0" builtinId="0"/>
    <cellStyle name="Normal 2" xfId="2"/>
    <cellStyle name="Normal 2 2" xfId="8"/>
    <cellStyle name="Normal 2 3" xfId="14"/>
    <cellStyle name="Normal 3" xfId="9"/>
    <cellStyle name="Normal 4" xfId="10"/>
    <cellStyle name="Normal 5" xfId="11"/>
    <cellStyle name="Normal_AdminSalbyUnitByEmpType" xfId="16"/>
    <cellStyle name="Normal_GOFSalbyUnitByEmpType_1" xfId="4"/>
    <cellStyle name="Normal_LoadRates" xfId="12"/>
    <cellStyle name="Normal_SallbyUnitByEmpType_1" xfId="5"/>
    <cellStyle name="Normal_Sheet5" xfId="13"/>
  </cellStyles>
  <dxfs count="0"/>
  <tableStyles count="0" defaultTableStyle="TableStyleMedium2" defaultPivotStyle="PivotStyleLight16"/>
  <colors>
    <mruColors>
      <color rgb="FFFFFFC2"/>
      <color rgb="FFE8CAFF"/>
      <color rgb="FFDAA8FF"/>
      <color rgb="FF95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1</xdr:col>
      <xdr:colOff>2496200</xdr:colOff>
      <xdr:row>3</xdr:row>
      <xdr:rowOff>76201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1"/>
          <a:ext cx="470600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diem@uw.ed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7:B16"/>
  <sheetViews>
    <sheetView workbookViewId="0">
      <selection activeCell="B21" sqref="B21"/>
    </sheetView>
  </sheetViews>
  <sheetFormatPr defaultColWidth="8.85546875" defaultRowHeight="15" x14ac:dyDescent="0.25"/>
  <cols>
    <col min="1" max="1" width="29" style="72" customWidth="1"/>
    <col min="2" max="2" width="141.42578125" style="62" customWidth="1"/>
  </cols>
  <sheetData>
    <row r="7" spans="1:2" x14ac:dyDescent="0.25">
      <c r="A7" s="72" t="s">
        <v>86</v>
      </c>
      <c r="B7" s="73" t="s">
        <v>94</v>
      </c>
    </row>
    <row r="8" spans="1:2" x14ac:dyDescent="0.25">
      <c r="A8" s="74"/>
      <c r="B8" s="75"/>
    </row>
    <row r="9" spans="1:2" x14ac:dyDescent="0.25">
      <c r="A9" s="72" t="s">
        <v>87</v>
      </c>
      <c r="B9" s="76" t="s">
        <v>88</v>
      </c>
    </row>
    <row r="10" spans="1:2" x14ac:dyDescent="0.25">
      <c r="A10" s="72" t="s">
        <v>89</v>
      </c>
      <c r="B10" s="77" t="s">
        <v>90</v>
      </c>
    </row>
    <row r="11" spans="1:2" x14ac:dyDescent="0.25">
      <c r="A11" s="72" t="s">
        <v>91</v>
      </c>
      <c r="B11" s="80">
        <v>42314</v>
      </c>
    </row>
    <row r="12" spans="1:2" x14ac:dyDescent="0.25">
      <c r="A12" s="74"/>
      <c r="B12" s="75"/>
    </row>
    <row r="13" spans="1:2" x14ac:dyDescent="0.25">
      <c r="A13" s="78" t="s">
        <v>92</v>
      </c>
      <c r="B13" s="79" t="s">
        <v>96</v>
      </c>
    </row>
    <row r="14" spans="1:2" x14ac:dyDescent="0.25">
      <c r="A14" s="74"/>
      <c r="B14" s="75"/>
    </row>
    <row r="15" spans="1:2" ht="32.25" customHeight="1" x14ac:dyDescent="0.25">
      <c r="A15" s="84" t="s">
        <v>93</v>
      </c>
      <c r="B15" s="76" t="s">
        <v>95</v>
      </c>
    </row>
    <row r="16" spans="1:2" x14ac:dyDescent="0.25">
      <c r="A16" s="74"/>
      <c r="B16" s="75"/>
    </row>
  </sheetData>
  <hyperlinks>
    <hyperlink ref="B10"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J44"/>
  <sheetViews>
    <sheetView showGridLines="0" tabSelected="1" topLeftCell="B1" zoomScale="133" zoomScaleNormal="106" zoomScalePageLayoutView="106" workbookViewId="0">
      <selection activeCell="A2" sqref="A1:A1048576"/>
    </sheetView>
  </sheetViews>
  <sheetFormatPr defaultColWidth="4.7109375" defaultRowHeight="15" x14ac:dyDescent="0.25"/>
  <cols>
    <col min="1" max="1" width="4.140625" style="48" hidden="1" customWidth="1"/>
    <col min="2" max="2" width="39.42578125" style="48" customWidth="1"/>
    <col min="3" max="4" width="16.42578125" style="48" hidden="1" customWidth="1"/>
    <col min="5" max="5" width="16.7109375" style="48" hidden="1" customWidth="1"/>
    <col min="6" max="6" width="17.28515625" style="48" customWidth="1"/>
    <col min="7" max="8" width="19.42578125" style="48" customWidth="1"/>
    <col min="9" max="9" width="16.85546875" customWidth="1"/>
    <col min="10" max="10" width="13.140625" hidden="1" customWidth="1"/>
    <col min="11" max="11" width="10.7109375" hidden="1" customWidth="1"/>
    <col min="12" max="12" width="15.28515625" customWidth="1"/>
    <col min="13" max="15" width="14.140625" customWidth="1"/>
    <col min="16" max="17" width="14.140625" hidden="1" customWidth="1"/>
    <col min="18" max="18" width="14.140625" customWidth="1"/>
    <col min="19" max="19" width="14.140625" hidden="1" customWidth="1"/>
    <col min="20" max="21" width="14.140625" customWidth="1"/>
    <col min="22" max="23" width="14.42578125" customWidth="1"/>
    <col min="24" max="24" width="3.85546875" style="48" customWidth="1"/>
    <col min="25" max="25" width="48.42578125" customWidth="1"/>
    <col min="26" max="26" width="12.85546875" style="48" customWidth="1"/>
    <col min="27" max="27" width="3.7109375" style="48" customWidth="1"/>
    <col min="28" max="28" width="10.7109375" style="48" hidden="1" customWidth="1"/>
    <col min="29" max="29" width="4.7109375" style="48"/>
    <col min="30" max="30" width="11.42578125" style="57" customWidth="1"/>
    <col min="31" max="31" width="21.42578125" customWidth="1"/>
    <col min="32" max="32" width="14.28515625" style="48" customWidth="1"/>
    <col min="33" max="33" width="4.7109375" style="48"/>
    <col min="34" max="35" width="6.28515625" style="48" customWidth="1"/>
    <col min="36" max="36" width="6.140625" style="48" customWidth="1"/>
    <col min="37" max="16384" width="4.7109375" style="48"/>
  </cols>
  <sheetData>
    <row r="1" spans="1:36" s="46" customFormat="1" ht="57.75" customHeight="1" x14ac:dyDescent="0.25">
      <c r="A1" s="44"/>
      <c r="B1" s="99" t="s">
        <v>145</v>
      </c>
      <c r="C1" s="45" t="s">
        <v>66</v>
      </c>
      <c r="D1" s="45" t="s">
        <v>67</v>
      </c>
      <c r="E1" s="45" t="s">
        <v>68</v>
      </c>
      <c r="F1" s="45" t="s">
        <v>83</v>
      </c>
      <c r="G1" s="45" t="s">
        <v>147</v>
      </c>
      <c r="H1" s="45" t="s">
        <v>148</v>
      </c>
      <c r="I1"/>
      <c r="J1"/>
      <c r="K1"/>
      <c r="L1"/>
      <c r="M1"/>
      <c r="N1"/>
      <c r="O1"/>
      <c r="P1"/>
      <c r="Q1"/>
      <c r="R1"/>
      <c r="S1"/>
      <c r="T1"/>
      <c r="U1"/>
      <c r="V1"/>
      <c r="W1"/>
      <c r="X1"/>
      <c r="Y1"/>
      <c r="Z1"/>
      <c r="AA1"/>
      <c r="AB1"/>
      <c r="AC1"/>
      <c r="AD1" s="47"/>
      <c r="AE1"/>
    </row>
    <row r="2" spans="1:36" ht="15" customHeight="1" x14ac:dyDescent="0.25">
      <c r="A2" s="94" t="s">
        <v>97</v>
      </c>
      <c r="B2" s="68" t="s">
        <v>129</v>
      </c>
      <c r="C2" s="66">
        <f>SUMIF(AdminSalbyUnitByEmpType!$C$3:C$50,Salaries!$A2,AdminSalbyUnitByEmpType!$I$3:$I$50)</f>
        <v>107429.35488000009</v>
      </c>
      <c r="D2" s="66">
        <f>SUMIF(AdminSalbyUnitByEmpType!$C$51:C$66,Salaries!$A2,AdminSalbyUnitByEmpType!$I$51:$I$66)</f>
        <v>0</v>
      </c>
      <c r="E2" s="66">
        <f>SUMIF(AdminSalbyUnitByEmpType!$C$67:C$101,Salaries!$A2,AdminSalbyUnitByEmpType!$I$67:$I$101)</f>
        <v>0</v>
      </c>
      <c r="F2" s="101">
        <f>ROUND(SUM(C2:E2),-3)</f>
        <v>107000</v>
      </c>
      <c r="G2" s="101">
        <f>+$F$35*F2</f>
        <v>101650</v>
      </c>
      <c r="H2" s="109">
        <f>+F2-G2</f>
        <v>5350</v>
      </c>
      <c r="X2"/>
      <c r="Z2"/>
      <c r="AA2"/>
      <c r="AB2"/>
      <c r="AC2"/>
      <c r="AD2"/>
      <c r="AF2"/>
      <c r="AG2"/>
      <c r="AH2"/>
      <c r="AI2"/>
      <c r="AJ2"/>
    </row>
    <row r="3" spans="1:36" ht="15" customHeight="1" x14ac:dyDescent="0.25">
      <c r="A3" s="95" t="s">
        <v>99</v>
      </c>
      <c r="B3" s="27" t="s">
        <v>130</v>
      </c>
      <c r="C3" s="28">
        <f>SUMIF(AdminSalbyUnitByEmpType!$C$3:C$50,Salaries!$A3,AdminSalbyUnitByEmpType!$I$3:$I$50)</f>
        <v>4856.4792000000034</v>
      </c>
      <c r="D3" s="29">
        <f>SUMIF(AdminSalbyUnitByEmpType!$C$51:C$66,Salaries!$A3,AdminSalbyUnitByEmpType!$I$51:$I$66)</f>
        <v>9465.7060800000108</v>
      </c>
      <c r="E3" s="29">
        <f>SUMIF(AdminSalbyUnitByEmpType!$C$67:C$101,Salaries!$A3,AdminSalbyUnitByEmpType!$I$67:$I$101)</f>
        <v>0</v>
      </c>
      <c r="F3" s="102">
        <f t="shared" ref="F3:F19" si="0">ROUND(SUM(C3:E3),-3)</f>
        <v>14000</v>
      </c>
      <c r="G3" s="106">
        <f t="shared" ref="G3:G19" si="1">+$F$35*F3</f>
        <v>13300</v>
      </c>
      <c r="H3" s="110">
        <f t="shared" ref="H3:H19" si="2">+F3-G3</f>
        <v>700</v>
      </c>
      <c r="X3"/>
      <c r="Z3"/>
      <c r="AA3"/>
      <c r="AB3"/>
      <c r="AC3"/>
      <c r="AD3"/>
      <c r="AF3"/>
      <c r="AG3"/>
      <c r="AH3"/>
      <c r="AI3"/>
      <c r="AJ3"/>
    </row>
    <row r="4" spans="1:36" ht="15" customHeight="1" x14ac:dyDescent="0.25">
      <c r="A4" s="96" t="s">
        <v>101</v>
      </c>
      <c r="B4" s="63" t="s">
        <v>131</v>
      </c>
      <c r="C4" s="64">
        <f>SUMIF(AdminSalbyUnitByEmpType!$C$3:C$50,Salaries!$A4,AdminSalbyUnitByEmpType!$I$3:$I$50)</f>
        <v>449912.43403999932</v>
      </c>
      <c r="D4" s="65">
        <f>SUMIF(AdminSalbyUnitByEmpType!$C$51:C$66,Salaries!$A4,AdminSalbyUnitByEmpType!$I$51:$I$66)</f>
        <v>58846.762079999768</v>
      </c>
      <c r="E4" s="65">
        <f>SUMIF(AdminSalbyUnitByEmpType!$C$67:C$101,Salaries!$A4,AdminSalbyUnitByEmpType!$I$67:$I$101)</f>
        <v>5843.7343800000026</v>
      </c>
      <c r="F4" s="103">
        <f t="shared" si="0"/>
        <v>515000</v>
      </c>
      <c r="G4" s="101">
        <f t="shared" si="1"/>
        <v>489250</v>
      </c>
      <c r="H4" s="111">
        <f t="shared" si="2"/>
        <v>25750</v>
      </c>
      <c r="X4"/>
      <c r="Z4"/>
      <c r="AA4"/>
      <c r="AB4"/>
      <c r="AC4"/>
      <c r="AD4"/>
      <c r="AF4"/>
      <c r="AG4"/>
      <c r="AH4"/>
      <c r="AI4"/>
      <c r="AJ4"/>
    </row>
    <row r="5" spans="1:36" ht="15" customHeight="1" x14ac:dyDescent="0.25">
      <c r="A5" s="95" t="s">
        <v>103</v>
      </c>
      <c r="B5" s="27" t="s">
        <v>132</v>
      </c>
      <c r="C5" s="28">
        <f>SUMIF(AdminSalbyUnitByEmpType!$C$3:C$50,Salaries!$A5,AdminSalbyUnitByEmpType!$I$3:$I$50)</f>
        <v>265195.20959999965</v>
      </c>
      <c r="D5" s="29">
        <f>SUMIF(AdminSalbyUnitByEmpType!$C$51:C$66,Salaries!$A5,AdminSalbyUnitByEmpType!$I$51:$I$66)</f>
        <v>0</v>
      </c>
      <c r="E5" s="29">
        <f>SUMIF(AdminSalbyUnitByEmpType!$C$67:C$101,Salaries!$A5,AdminSalbyUnitByEmpType!$I$67:$I$101)</f>
        <v>0</v>
      </c>
      <c r="F5" s="102">
        <f t="shared" si="0"/>
        <v>265000</v>
      </c>
      <c r="G5" s="106">
        <f t="shared" si="1"/>
        <v>251750</v>
      </c>
      <c r="H5" s="110">
        <f t="shared" si="2"/>
        <v>13250</v>
      </c>
      <c r="X5"/>
      <c r="Z5"/>
      <c r="AA5"/>
      <c r="AB5"/>
      <c r="AC5"/>
      <c r="AD5"/>
      <c r="AF5"/>
      <c r="AG5"/>
      <c r="AH5"/>
      <c r="AI5"/>
      <c r="AJ5"/>
    </row>
    <row r="6" spans="1:36" ht="15" customHeight="1" x14ac:dyDescent="0.25">
      <c r="A6" s="95" t="s">
        <v>105</v>
      </c>
      <c r="B6" s="63" t="s">
        <v>133</v>
      </c>
      <c r="C6" s="64">
        <f>SUMIF(AdminSalbyUnitByEmpType!$C$3:C$50,Salaries!$A6,AdminSalbyUnitByEmpType!$I$3:$I$50)</f>
        <v>212463.13500000001</v>
      </c>
      <c r="D6" s="65">
        <f>SUMIF(AdminSalbyUnitByEmpType!$C$51:C$66,Salaries!$A6,AdminSalbyUnitByEmpType!$I$51:$I$66)</f>
        <v>12232.182720000006</v>
      </c>
      <c r="E6" s="65">
        <f>SUMIF(AdminSalbyUnitByEmpType!$C$67:C$101,Salaries!$A6,AdminSalbyUnitByEmpType!$I$67:$I$101)</f>
        <v>1406.5385400000005</v>
      </c>
      <c r="F6" s="103">
        <f t="shared" si="0"/>
        <v>226000</v>
      </c>
      <c r="G6" s="101">
        <f t="shared" si="1"/>
        <v>214700</v>
      </c>
      <c r="H6" s="111">
        <f t="shared" si="2"/>
        <v>11300</v>
      </c>
      <c r="X6"/>
      <c r="Z6"/>
      <c r="AA6"/>
      <c r="AB6"/>
      <c r="AC6"/>
      <c r="AD6"/>
      <c r="AF6"/>
      <c r="AG6"/>
      <c r="AH6"/>
      <c r="AI6"/>
      <c r="AJ6"/>
    </row>
    <row r="7" spans="1:36" ht="15" customHeight="1" x14ac:dyDescent="0.25">
      <c r="A7" s="95" t="s">
        <v>107</v>
      </c>
      <c r="B7" s="27" t="s">
        <v>134</v>
      </c>
      <c r="C7" s="28">
        <f>SUMIF(AdminSalbyUnitByEmpType!$C$3:C$50,Salaries!$A7,AdminSalbyUnitByEmpType!$I$3:$I$50)</f>
        <v>486315.03600000148</v>
      </c>
      <c r="D7" s="29">
        <f>SUMIF(AdminSalbyUnitByEmpType!$C$51:C$66,Salaries!$A7,AdminSalbyUnitByEmpType!$I$51:$I$66)</f>
        <v>143219.83880000026</v>
      </c>
      <c r="E7" s="29">
        <f>SUMIF(AdminSalbyUnitByEmpType!$C$67:C$101,Salaries!$A7,AdminSalbyUnitByEmpType!$I$67:$I$101)</f>
        <v>1744.0315200000023</v>
      </c>
      <c r="F7" s="102">
        <f t="shared" si="0"/>
        <v>631000</v>
      </c>
      <c r="G7" s="106">
        <f t="shared" si="1"/>
        <v>599450</v>
      </c>
      <c r="H7" s="110">
        <f t="shared" si="2"/>
        <v>31550</v>
      </c>
      <c r="X7"/>
      <c r="Z7"/>
      <c r="AA7"/>
      <c r="AB7"/>
      <c r="AC7"/>
      <c r="AD7"/>
      <c r="AF7"/>
      <c r="AG7"/>
      <c r="AH7"/>
      <c r="AI7"/>
      <c r="AJ7"/>
    </row>
    <row r="8" spans="1:36" ht="15" customHeight="1" x14ac:dyDescent="0.25">
      <c r="A8" s="95" t="s">
        <v>109</v>
      </c>
      <c r="B8" s="63" t="s">
        <v>135</v>
      </c>
      <c r="C8" s="64">
        <f>SUMIF(AdminSalbyUnitByEmpType!$C$3:C$50,Salaries!$A8,AdminSalbyUnitByEmpType!$I$3:$I$50)</f>
        <v>1086906.834000001</v>
      </c>
      <c r="D8" s="65">
        <f>SUMIF(AdminSalbyUnitByEmpType!$C$51:C$66,Salaries!$A8,AdminSalbyUnitByEmpType!$I$51:$I$66)</f>
        <v>855830.91024000128</v>
      </c>
      <c r="E8" s="65">
        <f>SUMIF(AdminSalbyUnitByEmpType!$C$67:C$101,Salaries!$A8,AdminSalbyUnitByEmpType!$I$67:$I$101)</f>
        <v>0</v>
      </c>
      <c r="F8" s="103">
        <f t="shared" si="0"/>
        <v>1943000</v>
      </c>
      <c r="G8" s="101">
        <f t="shared" si="1"/>
        <v>1845850</v>
      </c>
      <c r="H8" s="111">
        <f t="shared" si="2"/>
        <v>97150</v>
      </c>
      <c r="X8"/>
      <c r="Z8"/>
      <c r="AA8"/>
      <c r="AB8"/>
      <c r="AC8"/>
      <c r="AD8"/>
      <c r="AF8"/>
      <c r="AG8"/>
      <c r="AH8"/>
      <c r="AI8"/>
      <c r="AJ8"/>
    </row>
    <row r="9" spans="1:36" ht="15" customHeight="1" x14ac:dyDescent="0.25">
      <c r="A9" s="95" t="s">
        <v>111</v>
      </c>
      <c r="B9" s="27" t="s">
        <v>136</v>
      </c>
      <c r="C9" s="28">
        <f>SUMIF(AdminSalbyUnitByEmpType!$C$3:C$50,Salaries!$A9,AdminSalbyUnitByEmpType!$I$3:$I$50)</f>
        <v>363643.3655999999</v>
      </c>
      <c r="D9" s="29">
        <f>SUMIF(AdminSalbyUnitByEmpType!$C$51:C$66,Salaries!$A9,AdminSalbyUnitByEmpType!$I$51:$I$66)</f>
        <v>11800.60032000004</v>
      </c>
      <c r="E9" s="29">
        <f>SUMIF(AdminSalbyUnitByEmpType!$C$67:C$101,Salaries!$A9,AdminSalbyUnitByEmpType!$I$67:$I$101)</f>
        <v>0</v>
      </c>
      <c r="F9" s="102">
        <f t="shared" si="0"/>
        <v>375000</v>
      </c>
      <c r="G9" s="106">
        <f t="shared" si="1"/>
        <v>356250</v>
      </c>
      <c r="H9" s="110">
        <f t="shared" si="2"/>
        <v>18750</v>
      </c>
      <c r="X9"/>
      <c r="Z9"/>
      <c r="AA9"/>
      <c r="AB9"/>
      <c r="AC9"/>
      <c r="AD9"/>
      <c r="AF9"/>
      <c r="AG9"/>
      <c r="AH9"/>
      <c r="AI9"/>
      <c r="AJ9"/>
    </row>
    <row r="10" spans="1:36" ht="15" customHeight="1" x14ac:dyDescent="0.25">
      <c r="A10" s="95" t="s">
        <v>113</v>
      </c>
      <c r="B10" s="63" t="s">
        <v>137</v>
      </c>
      <c r="C10" s="64">
        <f>SUMIF(AdminSalbyUnitByEmpType!$C$3:C$50,Salaries!$A10,AdminSalbyUnitByEmpType!$I$3:$I$50)</f>
        <v>1403509.3344000024</v>
      </c>
      <c r="D10" s="65">
        <f>SUMIF(AdminSalbyUnitByEmpType!$C$51:C$66,Salaries!$A10,AdminSalbyUnitByEmpType!$I$51:$I$66)</f>
        <v>46462.020000000004</v>
      </c>
      <c r="E10" s="65">
        <f>SUMIF(AdminSalbyUnitByEmpType!$C$67:C$101,Salaries!$A10,AdminSalbyUnitByEmpType!$I$67:$I$101)</f>
        <v>5633.7811199999969</v>
      </c>
      <c r="F10" s="103">
        <f t="shared" si="0"/>
        <v>1456000</v>
      </c>
      <c r="G10" s="101">
        <f t="shared" si="1"/>
        <v>1383200</v>
      </c>
      <c r="H10" s="111">
        <f t="shared" si="2"/>
        <v>72800</v>
      </c>
      <c r="X10"/>
      <c r="Z10"/>
      <c r="AA10"/>
      <c r="AB10"/>
      <c r="AC10"/>
      <c r="AD10"/>
      <c r="AF10"/>
      <c r="AG10"/>
      <c r="AH10"/>
      <c r="AI10"/>
      <c r="AJ10"/>
    </row>
    <row r="11" spans="1:36" ht="15" customHeight="1" x14ac:dyDescent="0.25">
      <c r="A11" s="95" t="s">
        <v>115</v>
      </c>
      <c r="B11" s="27" t="s">
        <v>138</v>
      </c>
      <c r="C11" s="28">
        <f>SUMIF(AdminSalbyUnitByEmpType!$C$3:C$50,Salaries!$A11,AdminSalbyUnitByEmpType!$I$3:$I$50)</f>
        <v>259455.23280000006</v>
      </c>
      <c r="D11" s="29">
        <f>SUMIF(AdminSalbyUnitByEmpType!$C$51:C$66,Salaries!$A11,AdminSalbyUnitByEmpType!$I$51:$I$66)</f>
        <v>118221.12528000015</v>
      </c>
      <c r="E11" s="29">
        <f>SUMIF(AdminSalbyUnitByEmpType!$C$67:C$101,Salaries!$A11,AdminSalbyUnitByEmpType!$I$67:$I$101)</f>
        <v>0</v>
      </c>
      <c r="F11" s="102">
        <f t="shared" si="0"/>
        <v>378000</v>
      </c>
      <c r="G11" s="106">
        <f t="shared" si="1"/>
        <v>359100</v>
      </c>
      <c r="H11" s="110">
        <f t="shared" si="2"/>
        <v>18900</v>
      </c>
      <c r="X11"/>
      <c r="Z11"/>
      <c r="AA11"/>
      <c r="AB11"/>
      <c r="AC11"/>
      <c r="AD11"/>
      <c r="AF11"/>
      <c r="AG11"/>
      <c r="AH11"/>
      <c r="AI11"/>
      <c r="AJ11"/>
    </row>
    <row r="12" spans="1:36" ht="15" customHeight="1" x14ac:dyDescent="0.25">
      <c r="A12" s="95" t="s">
        <v>117</v>
      </c>
      <c r="B12" s="63" t="s">
        <v>139</v>
      </c>
      <c r="C12" s="64">
        <f>SUMIF(AdminSalbyUnitByEmpType!$C$3:C$50,Salaries!$A12,AdminSalbyUnitByEmpType!$I$3:$I$50)</f>
        <v>79408.728000000119</v>
      </c>
      <c r="D12" s="65">
        <f>SUMIF(AdminSalbyUnitByEmpType!$C$51:C$66,Salaries!$A12,AdminSalbyUnitByEmpType!$I$51:$I$66)</f>
        <v>328.53792000000044</v>
      </c>
      <c r="E12" s="65">
        <f>SUMIF(AdminSalbyUnitByEmpType!$C$67:C$101,Salaries!$A12,AdminSalbyUnitByEmpType!$I$67:$I$101)</f>
        <v>0</v>
      </c>
      <c r="F12" s="103">
        <f t="shared" si="0"/>
        <v>80000</v>
      </c>
      <c r="G12" s="101">
        <f t="shared" si="1"/>
        <v>76000</v>
      </c>
      <c r="H12" s="111">
        <f t="shared" si="2"/>
        <v>4000</v>
      </c>
      <c r="X12"/>
      <c r="Z12"/>
      <c r="AA12"/>
      <c r="AB12"/>
      <c r="AC12"/>
      <c r="AD12"/>
      <c r="AF12"/>
      <c r="AG12"/>
      <c r="AH12"/>
      <c r="AI12"/>
      <c r="AJ12"/>
    </row>
    <row r="13" spans="1:36" ht="15" customHeight="1" x14ac:dyDescent="0.25">
      <c r="A13" s="95" t="s">
        <v>119</v>
      </c>
      <c r="B13" s="27" t="s">
        <v>140</v>
      </c>
      <c r="C13" s="28">
        <f>SUMIF(AdminSalbyUnitByEmpType!$C$3:C$50,Salaries!$A13,AdminSalbyUnitByEmpType!$I$3:$I$50)</f>
        <v>615691.84859999944</v>
      </c>
      <c r="D13" s="29">
        <f>SUMIF(AdminSalbyUnitByEmpType!$C$51:C$66,Salaries!$A13,AdminSalbyUnitByEmpType!$I$51:$I$66)</f>
        <v>2599.1966399999969</v>
      </c>
      <c r="E13" s="29">
        <f>SUMIF(AdminSalbyUnitByEmpType!$C$67:C$101,Salaries!$A13,AdminSalbyUnitByEmpType!$I$67:$I$101)</f>
        <v>0</v>
      </c>
      <c r="F13" s="102">
        <f t="shared" si="0"/>
        <v>618000</v>
      </c>
      <c r="G13" s="106">
        <f t="shared" si="1"/>
        <v>587100</v>
      </c>
      <c r="H13" s="110">
        <f t="shared" si="2"/>
        <v>30900</v>
      </c>
      <c r="X13"/>
      <c r="Z13"/>
      <c r="AA13"/>
      <c r="AB13"/>
      <c r="AC13"/>
      <c r="AD13"/>
      <c r="AF13"/>
      <c r="AG13"/>
      <c r="AH13"/>
      <c r="AI13"/>
      <c r="AJ13"/>
    </row>
    <row r="14" spans="1:36" ht="15" customHeight="1" x14ac:dyDescent="0.25">
      <c r="A14" s="95" t="s">
        <v>121</v>
      </c>
      <c r="B14" s="63" t="s">
        <v>141</v>
      </c>
      <c r="C14" s="64">
        <f>SUMIF(AdminSalbyUnitByEmpType!$C$3:C$50,Salaries!$A14,AdminSalbyUnitByEmpType!$I$3:$I$50)</f>
        <v>374540.85792000015</v>
      </c>
      <c r="D14" s="65">
        <f>SUMIF(AdminSalbyUnitByEmpType!$C$51:C$66,Salaries!$A14,AdminSalbyUnitByEmpType!$I$51:$I$66)</f>
        <v>26220.805440000015</v>
      </c>
      <c r="E14" s="65">
        <f>SUMIF(AdminSalbyUnitByEmpType!$C$67:C$101,Salaries!$A14,AdminSalbyUnitByEmpType!$I$67:$I$101)</f>
        <v>7565.0968800000028</v>
      </c>
      <c r="F14" s="103">
        <f t="shared" si="0"/>
        <v>408000</v>
      </c>
      <c r="G14" s="101">
        <f t="shared" si="1"/>
        <v>387600</v>
      </c>
      <c r="H14" s="111">
        <f t="shared" si="2"/>
        <v>20400</v>
      </c>
      <c r="X14"/>
      <c r="Z14"/>
      <c r="AA14"/>
      <c r="AB14"/>
      <c r="AC14"/>
      <c r="AD14"/>
      <c r="AF14"/>
      <c r="AG14"/>
      <c r="AH14"/>
      <c r="AI14"/>
      <c r="AJ14"/>
    </row>
    <row r="15" spans="1:36" ht="15" customHeight="1" x14ac:dyDescent="0.25">
      <c r="A15" s="95" t="s">
        <v>123</v>
      </c>
      <c r="B15" s="27" t="s">
        <v>142</v>
      </c>
      <c r="C15" s="28">
        <f>SUMIF(AdminSalbyUnitByEmpType!$C$3:C$50,Salaries!$A15,AdminSalbyUnitByEmpType!$I$3:$I$50)</f>
        <v>16102.238400000006</v>
      </c>
      <c r="D15" s="29">
        <f>SUMIF(AdminSalbyUnitByEmpType!$C$51:C$66,Salaries!$A15,AdminSalbyUnitByEmpType!$I$51:$I$66)</f>
        <v>0</v>
      </c>
      <c r="E15" s="29">
        <f>SUMIF(AdminSalbyUnitByEmpType!$C$67:C$101,Salaries!$A15,AdminSalbyUnitByEmpType!$I$67:$I$101)</f>
        <v>0</v>
      </c>
      <c r="F15" s="102">
        <f t="shared" si="0"/>
        <v>16000</v>
      </c>
      <c r="G15" s="106">
        <f t="shared" si="1"/>
        <v>15200</v>
      </c>
      <c r="H15" s="110">
        <f t="shared" si="2"/>
        <v>800</v>
      </c>
      <c r="X15"/>
      <c r="Z15"/>
      <c r="AA15"/>
      <c r="AB15"/>
      <c r="AC15"/>
      <c r="AD15"/>
      <c r="AF15"/>
      <c r="AG15"/>
      <c r="AH15"/>
      <c r="AI15"/>
      <c r="AJ15"/>
    </row>
    <row r="16" spans="1:36" ht="15" customHeight="1" x14ac:dyDescent="0.25">
      <c r="A16" s="95" t="s">
        <v>125</v>
      </c>
      <c r="B16" s="67" t="s">
        <v>143</v>
      </c>
      <c r="C16" s="98">
        <f>SUMIF(AdminSalbyUnitByEmpType!$C$3:C$50,Salaries!$A16,AdminSalbyUnitByEmpType!$I$3:$I$50)</f>
        <v>328210.37856000068</v>
      </c>
      <c r="D16" s="65">
        <f>SUMIF(AdminSalbyUnitByEmpType!$C$51:C$66,Salaries!$A16,AdminSalbyUnitByEmpType!$I$51:$I$66)</f>
        <v>52380.720960000115</v>
      </c>
      <c r="E16" s="65">
        <f>SUMIF(AdminSalbyUnitByEmpType!$C$67:C$101,Salaries!$A16,AdminSalbyUnitByEmpType!$I$67:$I$101)</f>
        <v>0</v>
      </c>
      <c r="F16" s="103">
        <f t="shared" si="0"/>
        <v>381000</v>
      </c>
      <c r="G16" s="101">
        <f t="shared" si="1"/>
        <v>361950</v>
      </c>
      <c r="H16" s="111">
        <f t="shared" si="2"/>
        <v>19050</v>
      </c>
      <c r="X16"/>
      <c r="Z16"/>
      <c r="AA16"/>
      <c r="AB16"/>
      <c r="AC16"/>
      <c r="AD16"/>
      <c r="AF16"/>
      <c r="AG16"/>
      <c r="AH16"/>
      <c r="AI16"/>
      <c r="AJ16"/>
    </row>
    <row r="17" spans="1:36" s="54" customFormat="1" ht="15" hidden="1" customHeight="1" x14ac:dyDescent="0.25">
      <c r="A17" s="32">
        <v>400</v>
      </c>
      <c r="B17" s="34" t="s">
        <v>74</v>
      </c>
      <c r="C17" s="35">
        <f>SUMIF(AdminSalbyUnitByEmpType!$C$3:C$61,Salaries!$A17,AdminSalbyUnitByEmpType!$I$3:$I$61)</f>
        <v>0</v>
      </c>
      <c r="D17" s="33">
        <f ca="1">SUMIF(AdminSalbyUnitByEmpType!$C$62:D$81,Salaries!$A17,AdminSalbyUnitByEmpType!$I$62:$I$81)</f>
        <v>0</v>
      </c>
      <c r="E17" s="33">
        <f ca="1">SUMIF(AdminSalbyUnitByEmpType!$C$82:E$101,Salaries!$A17,AdminSalbyUnitByEmpType!$I$82:$I$101)</f>
        <v>229872.12534000046</v>
      </c>
      <c r="F17" s="104">
        <f t="shared" ca="1" si="0"/>
        <v>230000</v>
      </c>
      <c r="G17" s="107">
        <f t="shared" ca="1" si="1"/>
        <v>218500</v>
      </c>
      <c r="H17" s="100">
        <f t="shared" ca="1" si="2"/>
        <v>11500</v>
      </c>
      <c r="I17"/>
      <c r="J17"/>
      <c r="K17"/>
      <c r="L17"/>
      <c r="M17"/>
      <c r="N17"/>
      <c r="O17"/>
      <c r="P17"/>
      <c r="Q17"/>
      <c r="R17"/>
      <c r="S17"/>
      <c r="T17"/>
      <c r="U17"/>
      <c r="V17"/>
      <c r="W17"/>
      <c r="X17"/>
      <c r="Y17"/>
      <c r="Z17"/>
      <c r="AA17"/>
      <c r="AB17"/>
      <c r="AC17"/>
      <c r="AD17" s="55"/>
      <c r="AE17"/>
      <c r="AF17"/>
      <c r="AG17"/>
      <c r="AH17"/>
      <c r="AI17"/>
      <c r="AJ17"/>
    </row>
    <row r="18" spans="1:36" ht="15" hidden="1" customHeight="1" x14ac:dyDescent="0.25">
      <c r="A18" s="32" t="s">
        <v>45</v>
      </c>
      <c r="B18" s="34" t="s">
        <v>76</v>
      </c>
      <c r="C18" s="35">
        <f>SUMIF(AdminSalbyUnitByEmpType!$C$3:C$61,Salaries!$A18,AdminSalbyUnitByEmpType!$I$3:$I$61)</f>
        <v>0</v>
      </c>
      <c r="D18" s="33">
        <f ca="1">SUMIF(AdminSalbyUnitByEmpType!$C$62:D$81,Salaries!$A18,AdminSalbyUnitByEmpType!$I$62:$I$81)</f>
        <v>0</v>
      </c>
      <c r="E18" s="33">
        <f ca="1">SUMIF(AdminSalbyUnitByEmpType!$C$82:E$101,Salaries!$A18,AdminSalbyUnitByEmpType!$I$82:$I$101)</f>
        <v>0</v>
      </c>
      <c r="F18" s="104">
        <f t="shared" ca="1" si="0"/>
        <v>0</v>
      </c>
      <c r="G18" s="107">
        <f t="shared" ca="1" si="1"/>
        <v>0</v>
      </c>
      <c r="H18" s="100">
        <f t="shared" ca="1" si="2"/>
        <v>0</v>
      </c>
      <c r="X18"/>
      <c r="Z18"/>
      <c r="AA18"/>
      <c r="AB18"/>
      <c r="AC18"/>
      <c r="AD18"/>
      <c r="AF18"/>
      <c r="AG18"/>
      <c r="AH18"/>
      <c r="AI18"/>
      <c r="AJ18"/>
    </row>
    <row r="19" spans="1:36" ht="15" customHeight="1" x14ac:dyDescent="0.25">
      <c r="A19" s="97" t="s">
        <v>127</v>
      </c>
      <c r="B19" s="36" t="s">
        <v>144</v>
      </c>
      <c r="C19" s="37">
        <f>SUMIF(AdminSalbyUnitByEmpType!$C$3:C$50,Salaries!$A19,AdminSalbyUnitByEmpType!$I$3:$I$50)</f>
        <v>36705.160800000071</v>
      </c>
      <c r="D19" s="37">
        <f>SUMIF(AdminSalbyUnitByEmpType!$C$51:C$66,Salaries!$A19,AdminSalbyUnitByEmpType!$I$51:$I$66)</f>
        <v>1057.5441599999992</v>
      </c>
      <c r="E19" s="37">
        <f>SUMIF(AdminSalbyUnitByEmpType!$C$67:C$101,Salaries!$A19,AdminSalbyUnitByEmpType!$I$67:$I$101)</f>
        <v>0</v>
      </c>
      <c r="F19" s="105">
        <f t="shared" si="0"/>
        <v>38000</v>
      </c>
      <c r="G19" s="108">
        <f t="shared" si="1"/>
        <v>36100</v>
      </c>
      <c r="H19" s="108">
        <f t="shared" si="2"/>
        <v>1900</v>
      </c>
      <c r="X19"/>
      <c r="Z19"/>
      <c r="AA19"/>
      <c r="AB19"/>
      <c r="AC19"/>
      <c r="AF19"/>
      <c r="AG19"/>
      <c r="AH19"/>
      <c r="AI19"/>
      <c r="AJ19"/>
    </row>
    <row r="20" spans="1:36" customFormat="1" ht="15" hidden="1" customHeight="1" x14ac:dyDescent="0.25">
      <c r="A20" s="38">
        <v>400</v>
      </c>
      <c r="B20" s="58" t="s">
        <v>80</v>
      </c>
      <c r="C20" s="39" t="e">
        <f>SUMIF(#REF!,Salaries!$A20,#REF!)</f>
        <v>#REF!</v>
      </c>
      <c r="D20" s="39" t="e">
        <f>SUMIF(#REF!,Salaries!$A20,#REF!)</f>
        <v>#REF!</v>
      </c>
      <c r="E20" s="39" t="e">
        <f>SUMIF(#REF!,Salaries!$A20,#REF!)</f>
        <v>#REF!</v>
      </c>
      <c r="F20" s="39" t="e">
        <f>SUM(C20:E20)</f>
        <v>#REF!</v>
      </c>
      <c r="G20" s="39"/>
      <c r="H20" s="39"/>
    </row>
    <row r="21" spans="1:36" customFormat="1" ht="15" hidden="1" customHeight="1" x14ac:dyDescent="0.25">
      <c r="A21" s="40" t="s">
        <v>45</v>
      </c>
      <c r="B21" s="60" t="s">
        <v>81</v>
      </c>
      <c r="C21" s="41" t="e">
        <f>SUMIF(#REF!,Salaries!$A21,#REF!)</f>
        <v>#REF!</v>
      </c>
      <c r="D21" s="41" t="e">
        <f>SUMIF(#REF!,Salaries!$A21,#REF!)</f>
        <v>#REF!</v>
      </c>
      <c r="E21" s="41" t="e">
        <f>SUMIF(#REF!,Salaries!$A21,#REF!)</f>
        <v>#REF!</v>
      </c>
      <c r="F21" s="41" t="e">
        <f>SUM(C21:E21)</f>
        <v>#REF!</v>
      </c>
      <c r="G21" s="41"/>
      <c r="H21" s="41"/>
    </row>
    <row r="22" spans="1:36" s="55" customFormat="1" ht="15" hidden="1" customHeight="1" thickBot="1" x14ac:dyDescent="0.25">
      <c r="A22" s="42"/>
      <c r="B22" s="61"/>
      <c r="C22" s="43"/>
      <c r="D22" s="43"/>
      <c r="E22" s="43"/>
      <c r="F22" s="43"/>
      <c r="G22" s="43"/>
      <c r="H22" s="43"/>
      <c r="I22"/>
      <c r="J22"/>
      <c r="K22"/>
      <c r="L22"/>
      <c r="M22"/>
      <c r="N22"/>
      <c r="O22"/>
      <c r="P22"/>
      <c r="Q22"/>
      <c r="R22"/>
      <c r="S22"/>
      <c r="T22"/>
      <c r="U22"/>
      <c r="V22"/>
      <c r="W22"/>
      <c r="X22"/>
      <c r="Y22"/>
      <c r="Z22"/>
      <c r="AA22"/>
      <c r="AB22"/>
      <c r="AC22"/>
      <c r="AE22"/>
      <c r="AF22"/>
      <c r="AG22"/>
      <c r="AH22"/>
      <c r="AI22"/>
      <c r="AJ22"/>
    </row>
    <row r="23" spans="1:36" hidden="1" x14ac:dyDescent="0.25">
      <c r="B23" s="48" t="s">
        <v>84</v>
      </c>
      <c r="X23"/>
      <c r="Z23"/>
      <c r="AA23"/>
      <c r="AB23"/>
      <c r="AC23"/>
      <c r="AF23"/>
      <c r="AG23"/>
      <c r="AH23"/>
      <c r="AI23"/>
      <c r="AJ23"/>
    </row>
    <row r="24" spans="1:36" ht="18" hidden="1" customHeight="1" x14ac:dyDescent="0.25">
      <c r="B24" s="69" t="s">
        <v>85</v>
      </c>
      <c r="X24"/>
      <c r="Z24"/>
      <c r="AA24"/>
      <c r="AB24"/>
      <c r="AC24"/>
      <c r="AF24"/>
      <c r="AG24"/>
      <c r="AH24"/>
      <c r="AI24"/>
      <c r="AJ24"/>
    </row>
    <row r="25" spans="1:36" x14ac:dyDescent="0.25">
      <c r="B25" s="48" t="s">
        <v>146</v>
      </c>
      <c r="X25"/>
      <c r="Z25"/>
      <c r="AA25"/>
      <c r="AB25"/>
      <c r="AC25"/>
      <c r="AF25"/>
      <c r="AG25"/>
      <c r="AH25"/>
      <c r="AI25"/>
      <c r="AJ25"/>
    </row>
    <row r="26" spans="1:36" x14ac:dyDescent="0.25">
      <c r="X26"/>
      <c r="Z26"/>
      <c r="AA26"/>
      <c r="AB26"/>
      <c r="AC26"/>
      <c r="AF26"/>
      <c r="AG26"/>
      <c r="AH26"/>
      <c r="AI26"/>
      <c r="AJ26"/>
    </row>
    <row r="27" spans="1:36" x14ac:dyDescent="0.25">
      <c r="B27" s="87" t="s">
        <v>69</v>
      </c>
      <c r="C27" s="88"/>
      <c r="D27" s="88"/>
      <c r="E27" s="88"/>
      <c r="F27" s="89"/>
      <c r="X27"/>
      <c r="Z27"/>
      <c r="AA27"/>
      <c r="AB27"/>
      <c r="AC27"/>
      <c r="AF27"/>
      <c r="AG27"/>
      <c r="AH27"/>
      <c r="AI27"/>
      <c r="AJ27"/>
    </row>
    <row r="28" spans="1:36" x14ac:dyDescent="0.25">
      <c r="B28" s="70" t="s">
        <v>12</v>
      </c>
      <c r="F28" s="81">
        <v>0.04</v>
      </c>
      <c r="AF28"/>
      <c r="AG28"/>
      <c r="AH28"/>
      <c r="AI28"/>
      <c r="AJ28"/>
    </row>
    <row r="29" spans="1:36" x14ac:dyDescent="0.25">
      <c r="B29" s="30" t="s">
        <v>51</v>
      </c>
      <c r="F29" s="82">
        <f>+F28</f>
        <v>0.04</v>
      </c>
      <c r="AF29"/>
      <c r="AG29"/>
      <c r="AH29"/>
      <c r="AI29"/>
      <c r="AJ29"/>
    </row>
    <row r="30" spans="1:36" x14ac:dyDescent="0.25">
      <c r="B30" s="30" t="s">
        <v>53</v>
      </c>
      <c r="F30" s="82">
        <f>+F28</f>
        <v>0.04</v>
      </c>
      <c r="AF30"/>
      <c r="AG30"/>
      <c r="AH30"/>
      <c r="AI30"/>
      <c r="AJ30"/>
    </row>
    <row r="31" spans="1:36" x14ac:dyDescent="0.25">
      <c r="B31" s="30" t="s">
        <v>55</v>
      </c>
      <c r="F31" s="82">
        <v>0.02</v>
      </c>
      <c r="AF31"/>
      <c r="AG31"/>
      <c r="AH31"/>
      <c r="AI31"/>
      <c r="AJ31"/>
    </row>
    <row r="32" spans="1:36" x14ac:dyDescent="0.25">
      <c r="B32" s="30" t="s">
        <v>57</v>
      </c>
      <c r="F32" s="82">
        <v>0.06</v>
      </c>
    </row>
    <row r="33" spans="2:6" x14ac:dyDescent="0.25">
      <c r="B33" s="49"/>
      <c r="C33" s="49"/>
    </row>
    <row r="34" spans="2:6" x14ac:dyDescent="0.25">
      <c r="B34" s="85" t="s">
        <v>70</v>
      </c>
      <c r="C34" s="90"/>
      <c r="D34" s="90"/>
      <c r="E34" s="90"/>
      <c r="F34" s="86"/>
    </row>
    <row r="35" spans="2:6" x14ac:dyDescent="0.25">
      <c r="B35" s="71" t="s">
        <v>71</v>
      </c>
      <c r="F35" s="83">
        <v>0.95</v>
      </c>
    </row>
    <row r="36" spans="2:6" x14ac:dyDescent="0.25">
      <c r="B36" s="49"/>
      <c r="C36" s="51"/>
    </row>
    <row r="37" spans="2:6" hidden="1" x14ac:dyDescent="0.25">
      <c r="B37" s="85" t="s">
        <v>72</v>
      </c>
      <c r="C37" s="86"/>
    </row>
    <row r="38" spans="2:6" hidden="1" x14ac:dyDescent="0.25">
      <c r="B38" s="52" t="s">
        <v>73</v>
      </c>
      <c r="C38" s="31">
        <f>SUM(M2:M16)</f>
        <v>0</v>
      </c>
    </row>
    <row r="39" spans="2:6" hidden="1" x14ac:dyDescent="0.25">
      <c r="B39" s="53" t="s">
        <v>75</v>
      </c>
      <c r="C39" s="53">
        <f>+M17+M18</f>
        <v>0</v>
      </c>
    </row>
    <row r="40" spans="2:6" hidden="1" x14ac:dyDescent="0.25">
      <c r="B40" s="53" t="s">
        <v>77</v>
      </c>
      <c r="C40" s="56">
        <f>-(V17+V18)</f>
        <v>0</v>
      </c>
    </row>
    <row r="41" spans="2:6" hidden="1" x14ac:dyDescent="0.25">
      <c r="B41" s="52" t="s">
        <v>78</v>
      </c>
      <c r="C41" s="31">
        <f>-(V20+V21)</f>
        <v>0</v>
      </c>
    </row>
    <row r="42" spans="2:6" hidden="1" x14ac:dyDescent="0.25">
      <c r="B42" s="52" t="s">
        <v>79</v>
      </c>
      <c r="C42" s="56">
        <f>+C38+C39+C40+C41</f>
        <v>0</v>
      </c>
    </row>
    <row r="43" spans="2:6" hidden="1" x14ac:dyDescent="0.25">
      <c r="B43" s="59"/>
      <c r="C43" s="59"/>
    </row>
    <row r="44" spans="2:6" hidden="1" x14ac:dyDescent="0.25">
      <c r="B44" s="50" t="s">
        <v>82</v>
      </c>
      <c r="C44" s="56">
        <f>-SUMIF(V2:V16,"&lt;0",V2:V16)</f>
        <v>0</v>
      </c>
    </row>
  </sheetData>
  <mergeCells count="3">
    <mergeCell ref="B37:C37"/>
    <mergeCell ref="B27:F27"/>
    <mergeCell ref="B34:F34"/>
  </mergeCells>
  <pageMargins left="0.2" right="0.2" top="0.75" bottom="0.75" header="0.3" footer="0.3"/>
  <pageSetup paperSize="5" scale="65" orientation="landscape" r:id="rId1"/>
  <headerFooter>
    <oddFooter>&amp;L&amp;9&amp;Z&amp;F,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opLeftCell="A57" zoomScale="70" zoomScaleNormal="70" workbookViewId="0">
      <selection activeCell="I3" sqref="I3"/>
    </sheetView>
  </sheetViews>
  <sheetFormatPr defaultColWidth="8.85546875" defaultRowHeight="18" customHeight="1" x14ac:dyDescent="0.25"/>
  <cols>
    <col min="1" max="1" width="8.85546875" style="5"/>
    <col min="2" max="2" width="40.140625" style="5" customWidth="1"/>
    <col min="3" max="3" width="14.42578125" style="5" bestFit="1" customWidth="1"/>
    <col min="4" max="4" width="40.140625" style="5" customWidth="1"/>
    <col min="5" max="5" width="14.7109375" style="15" bestFit="1" customWidth="1"/>
    <col min="6" max="6" width="15.28515625" style="14" bestFit="1" customWidth="1"/>
    <col min="7" max="7" width="14.28515625" style="5" bestFit="1" customWidth="1"/>
    <col min="8" max="8" width="12.42578125" style="14" bestFit="1" customWidth="1"/>
    <col min="9" max="9" width="14.28515625" style="5" bestFit="1" customWidth="1"/>
    <col min="10" max="10" width="13" bestFit="1" customWidth="1"/>
    <col min="11" max="16384" width="8.85546875" style="5"/>
  </cols>
  <sheetData>
    <row r="1" spans="1:10" ht="35.25" customHeight="1" x14ac:dyDescent="0.25">
      <c r="A1" s="1"/>
      <c r="B1" s="1"/>
      <c r="C1" s="1"/>
      <c r="D1" s="1"/>
      <c r="E1" s="2" t="s">
        <v>2</v>
      </c>
      <c r="F1" s="3" t="s">
        <v>3</v>
      </c>
      <c r="G1" s="4" t="s">
        <v>3</v>
      </c>
      <c r="H1" s="3" t="s">
        <v>3</v>
      </c>
      <c r="I1" s="91" t="s">
        <v>4</v>
      </c>
    </row>
    <row r="2" spans="1:10" s="10" customFormat="1" ht="27" customHeight="1" x14ac:dyDescent="0.25">
      <c r="A2" s="6" t="s">
        <v>5</v>
      </c>
      <c r="B2" s="6" t="s">
        <v>6</v>
      </c>
      <c r="C2" s="6" t="s">
        <v>7</v>
      </c>
      <c r="D2" s="6" t="s">
        <v>8</v>
      </c>
      <c r="E2" s="7" t="s">
        <v>9</v>
      </c>
      <c r="F2" s="8" t="s">
        <v>9</v>
      </c>
      <c r="G2" s="9" t="s">
        <v>10</v>
      </c>
      <c r="H2" s="8" t="s">
        <v>11</v>
      </c>
      <c r="I2" s="91"/>
      <c r="J2"/>
    </row>
    <row r="3" spans="1:10" ht="18" customHeight="1" x14ac:dyDescent="0.25">
      <c r="A3" s="11" t="s">
        <v>0</v>
      </c>
      <c r="B3" s="92" t="s">
        <v>12</v>
      </c>
      <c r="C3" s="92" t="s">
        <v>97</v>
      </c>
      <c r="D3" s="92" t="s">
        <v>98</v>
      </c>
      <c r="E3" s="93">
        <v>536784</v>
      </c>
      <c r="F3" s="13">
        <f>E3*(1+VLOOKUP($B3,Salaries!$B$28:$F$32,5,FALSE))</f>
        <v>558255.35999999999</v>
      </c>
      <c r="G3" s="13">
        <f t="shared" ref="G3:G65" si="0">+F3-E3</f>
        <v>21471.359999999986</v>
      </c>
      <c r="H3" s="13">
        <f>G3*VLOOKUP($B3,LoadRates!$C$2:$E$6,3,FALSE)</f>
        <v>5217.540479999996</v>
      </c>
      <c r="I3" s="13">
        <f t="shared" ref="I3:I65" si="1">+G3+H3</f>
        <v>26688.900479999982</v>
      </c>
    </row>
    <row r="4" spans="1:10" ht="18" customHeight="1" x14ac:dyDescent="0.25">
      <c r="A4" s="11" t="s">
        <v>0</v>
      </c>
      <c r="B4" s="92" t="s">
        <v>12</v>
      </c>
      <c r="C4" s="92" t="s">
        <v>99</v>
      </c>
      <c r="D4" s="92" t="s">
        <v>100</v>
      </c>
      <c r="E4" s="93">
        <v>0</v>
      </c>
      <c r="F4" s="13">
        <f>E4*(1+VLOOKUP($B4,Salaries!$B$28:$F$32,5,FALSE))</f>
        <v>0</v>
      </c>
      <c r="G4" s="13">
        <f t="shared" si="0"/>
        <v>0</v>
      </c>
      <c r="H4" s="13">
        <f>G4*VLOOKUP($B4,LoadRates!$C$2:$E$6,3,FALSE)</f>
        <v>0</v>
      </c>
      <c r="I4" s="13">
        <f t="shared" si="1"/>
        <v>0</v>
      </c>
    </row>
    <row r="5" spans="1:10" ht="18" customHeight="1" x14ac:dyDescent="0.25">
      <c r="A5" s="11" t="s">
        <v>0</v>
      </c>
      <c r="B5" s="92" t="s">
        <v>12</v>
      </c>
      <c r="C5" s="92" t="s">
        <v>101</v>
      </c>
      <c r="D5" s="92" t="s">
        <v>102</v>
      </c>
      <c r="E5" s="93">
        <v>547697</v>
      </c>
      <c r="F5" s="13">
        <f>E5*(1+VLOOKUP($B5,Salaries!$B$28:$F$32,5,FALSE))</f>
        <v>569604.88</v>
      </c>
      <c r="G5" s="13">
        <f t="shared" si="0"/>
        <v>21907.880000000005</v>
      </c>
      <c r="H5" s="13">
        <f>G5*VLOOKUP($B5,LoadRates!$C$2:$E$6,3,FALSE)</f>
        <v>5323.6148400000011</v>
      </c>
      <c r="I5" s="13">
        <f t="shared" si="1"/>
        <v>27231.494840000007</v>
      </c>
    </row>
    <row r="6" spans="1:10" ht="18" customHeight="1" x14ac:dyDescent="0.25">
      <c r="A6" s="11" t="s">
        <v>0</v>
      </c>
      <c r="B6" s="92" t="s">
        <v>12</v>
      </c>
      <c r="C6" s="92" t="s">
        <v>103</v>
      </c>
      <c r="D6" s="92" t="s">
        <v>104</v>
      </c>
      <c r="E6" s="93">
        <v>0</v>
      </c>
      <c r="F6" s="13">
        <f>E6*(1+VLOOKUP($B6,Salaries!$B$28:$F$32,5,FALSE))</f>
        <v>0</v>
      </c>
      <c r="G6" s="13">
        <f t="shared" si="0"/>
        <v>0</v>
      </c>
      <c r="H6" s="13">
        <f>G6*VLOOKUP($B6,LoadRates!$C$2:$E$6,3,FALSE)</f>
        <v>0</v>
      </c>
      <c r="I6" s="13">
        <f t="shared" si="1"/>
        <v>0</v>
      </c>
    </row>
    <row r="7" spans="1:10" ht="18" customHeight="1" x14ac:dyDescent="0.25">
      <c r="A7" s="11" t="s">
        <v>0</v>
      </c>
      <c r="B7" s="92" t="s">
        <v>12</v>
      </c>
      <c r="C7" s="92" t="s">
        <v>105</v>
      </c>
      <c r="D7" s="92" t="s">
        <v>106</v>
      </c>
      <c r="E7" s="93">
        <v>0</v>
      </c>
      <c r="F7" s="13">
        <f>E7*(1+VLOOKUP($B7,Salaries!$B$28:$F$32,5,FALSE))</f>
        <v>0</v>
      </c>
      <c r="G7" s="13">
        <f t="shared" si="0"/>
        <v>0</v>
      </c>
      <c r="H7" s="13">
        <f>G7*VLOOKUP($B7,LoadRates!$C$2:$E$6,3,FALSE)</f>
        <v>0</v>
      </c>
      <c r="I7" s="13">
        <f t="shared" si="1"/>
        <v>0</v>
      </c>
    </row>
    <row r="8" spans="1:10" ht="18" customHeight="1" x14ac:dyDescent="0.25">
      <c r="A8" s="11" t="s">
        <v>0</v>
      </c>
      <c r="B8" s="92" t="s">
        <v>12</v>
      </c>
      <c r="C8" s="92" t="s">
        <v>107</v>
      </c>
      <c r="D8" s="92" t="s">
        <v>108</v>
      </c>
      <c r="E8" s="93">
        <v>0</v>
      </c>
      <c r="F8" s="13">
        <f>E8*(1+VLOOKUP($B8,Salaries!$B$28:$F$32,5,FALSE))</f>
        <v>0</v>
      </c>
      <c r="G8" s="13">
        <f t="shared" si="0"/>
        <v>0</v>
      </c>
      <c r="H8" s="13">
        <f>G8*VLOOKUP($B8,LoadRates!$C$2:$E$6,3,FALSE)</f>
        <v>0</v>
      </c>
      <c r="I8" s="13">
        <f t="shared" si="1"/>
        <v>0</v>
      </c>
    </row>
    <row r="9" spans="1:10" ht="18" customHeight="1" x14ac:dyDescent="0.25">
      <c r="A9" s="11" t="s">
        <v>0</v>
      </c>
      <c r="B9" s="92" t="s">
        <v>12</v>
      </c>
      <c r="C9" s="92" t="s">
        <v>109</v>
      </c>
      <c r="D9" s="92" t="s">
        <v>110</v>
      </c>
      <c r="E9" s="93">
        <v>0</v>
      </c>
      <c r="F9" s="13">
        <f>E9*(1+VLOOKUP($B9,Salaries!$B$28:$F$32,5,FALSE))</f>
        <v>0</v>
      </c>
      <c r="G9" s="13">
        <f t="shared" si="0"/>
        <v>0</v>
      </c>
      <c r="H9" s="13">
        <f>G9*VLOOKUP($B9,LoadRates!$C$2:$E$6,3,FALSE)</f>
        <v>0</v>
      </c>
      <c r="I9" s="13">
        <f t="shared" si="1"/>
        <v>0</v>
      </c>
    </row>
    <row r="10" spans="1:10" ht="18" customHeight="1" x14ac:dyDescent="0.25">
      <c r="A10" s="11" t="s">
        <v>0</v>
      </c>
      <c r="B10" s="92" t="s">
        <v>12</v>
      </c>
      <c r="C10" s="92" t="s">
        <v>111</v>
      </c>
      <c r="D10" s="92" t="s">
        <v>112</v>
      </c>
      <c r="E10" s="93">
        <v>0</v>
      </c>
      <c r="F10" s="13">
        <f>E10*(1+VLOOKUP($B10,Salaries!$B$28:$F$32,5,FALSE))</f>
        <v>0</v>
      </c>
      <c r="G10" s="13">
        <f t="shared" si="0"/>
        <v>0</v>
      </c>
      <c r="H10" s="13">
        <f>G10*VLOOKUP($B10,LoadRates!$C$2:$E$6,3,FALSE)</f>
        <v>0</v>
      </c>
      <c r="I10" s="13">
        <f t="shared" si="1"/>
        <v>0</v>
      </c>
    </row>
    <row r="11" spans="1:10" ht="18" customHeight="1" x14ac:dyDescent="0.25">
      <c r="A11" s="11" t="s">
        <v>0</v>
      </c>
      <c r="B11" s="92" t="s">
        <v>12</v>
      </c>
      <c r="C11" s="92" t="s">
        <v>113</v>
      </c>
      <c r="D11" s="92" t="s">
        <v>114</v>
      </c>
      <c r="E11" s="93">
        <v>0</v>
      </c>
      <c r="F11" s="13">
        <f>E11*(1+VLOOKUP($B11,Salaries!$B$28:$F$32,5,FALSE))</f>
        <v>0</v>
      </c>
      <c r="G11" s="13">
        <f t="shared" si="0"/>
        <v>0</v>
      </c>
      <c r="H11" s="13">
        <f>G11*VLOOKUP($B11,LoadRates!$C$2:$E$6,3,FALSE)</f>
        <v>0</v>
      </c>
      <c r="I11" s="13">
        <f t="shared" si="1"/>
        <v>0</v>
      </c>
    </row>
    <row r="12" spans="1:10" ht="18" customHeight="1" x14ac:dyDescent="0.25">
      <c r="A12" s="11" t="s">
        <v>0</v>
      </c>
      <c r="B12" s="92" t="s">
        <v>12</v>
      </c>
      <c r="C12" s="92" t="s">
        <v>115</v>
      </c>
      <c r="D12" s="92" t="s">
        <v>116</v>
      </c>
      <c r="E12" s="93">
        <v>19980</v>
      </c>
      <c r="F12" s="13">
        <f>E12*(1+VLOOKUP($B12,Salaries!$B$28:$F$32,5,FALSE))</f>
        <v>20779.2</v>
      </c>
      <c r="G12" s="13">
        <f t="shared" si="0"/>
        <v>799.20000000000073</v>
      </c>
      <c r="H12" s="13">
        <f>G12*VLOOKUP($B12,LoadRates!$C$2:$E$6,3,FALSE)</f>
        <v>194.20560000000017</v>
      </c>
      <c r="I12" s="13">
        <f t="shared" si="1"/>
        <v>993.40560000000096</v>
      </c>
    </row>
    <row r="13" spans="1:10" ht="18" customHeight="1" x14ac:dyDescent="0.25">
      <c r="A13" s="11" t="s">
        <v>0</v>
      </c>
      <c r="B13" s="92" t="s">
        <v>12</v>
      </c>
      <c r="C13" s="92" t="s">
        <v>117</v>
      </c>
      <c r="D13" s="92" t="s">
        <v>118</v>
      </c>
      <c r="E13" s="93">
        <v>0</v>
      </c>
      <c r="F13" s="13">
        <f>E13*(1+VLOOKUP($B13,Salaries!$B$28:$F$32,5,FALSE))</f>
        <v>0</v>
      </c>
      <c r="G13" s="13">
        <f t="shared" si="0"/>
        <v>0</v>
      </c>
      <c r="H13" s="13">
        <f>G13*VLOOKUP($B13,LoadRates!$C$2:$E$6,3,FALSE)</f>
        <v>0</v>
      </c>
      <c r="I13" s="13">
        <f t="shared" si="1"/>
        <v>0</v>
      </c>
    </row>
    <row r="14" spans="1:10" ht="18" customHeight="1" x14ac:dyDescent="0.25">
      <c r="A14" s="11" t="s">
        <v>0</v>
      </c>
      <c r="B14" s="92" t="s">
        <v>12</v>
      </c>
      <c r="C14" s="92" t="s">
        <v>119</v>
      </c>
      <c r="D14" s="92" t="s">
        <v>120</v>
      </c>
      <c r="E14" s="93">
        <v>0</v>
      </c>
      <c r="F14" s="13">
        <f>E14*(1+VLOOKUP($B14,Salaries!$B$28:$F$32,5,FALSE))</f>
        <v>0</v>
      </c>
      <c r="G14" s="13">
        <f t="shared" si="0"/>
        <v>0</v>
      </c>
      <c r="H14" s="13">
        <f>G14*VLOOKUP($B14,LoadRates!$C$2:$E$6,3,FALSE)</f>
        <v>0</v>
      </c>
      <c r="I14" s="13">
        <f t="shared" si="1"/>
        <v>0</v>
      </c>
    </row>
    <row r="15" spans="1:10" ht="18" customHeight="1" x14ac:dyDescent="0.25">
      <c r="A15" s="11" t="s">
        <v>0</v>
      </c>
      <c r="B15" s="92" t="s">
        <v>12</v>
      </c>
      <c r="C15" s="92" t="s">
        <v>121</v>
      </c>
      <c r="D15" s="92" t="s">
        <v>122</v>
      </c>
      <c r="E15" s="93">
        <v>153396</v>
      </c>
      <c r="F15" s="13">
        <f>E15*(1+VLOOKUP($B15,Salaries!$B$28:$F$32,5,FALSE))</f>
        <v>159531.84</v>
      </c>
      <c r="G15" s="13">
        <f t="shared" si="0"/>
        <v>6135.8399999999965</v>
      </c>
      <c r="H15" s="13">
        <f>G15*VLOOKUP($B15,LoadRates!$C$2:$E$6,3,FALSE)</f>
        <v>1491.009119999999</v>
      </c>
      <c r="I15" s="13">
        <f t="shared" si="1"/>
        <v>7626.8491199999953</v>
      </c>
    </row>
    <row r="16" spans="1:10" ht="18" customHeight="1" x14ac:dyDescent="0.25">
      <c r="A16" s="11" t="s">
        <v>0</v>
      </c>
      <c r="B16" s="92" t="s">
        <v>12</v>
      </c>
      <c r="C16" s="92" t="s">
        <v>123</v>
      </c>
      <c r="D16" s="92" t="s">
        <v>124</v>
      </c>
      <c r="E16" s="93">
        <v>0</v>
      </c>
      <c r="F16" s="13">
        <f>E16*(1+VLOOKUP($B16,Salaries!$B$28:$F$32,5,FALSE))</f>
        <v>0</v>
      </c>
      <c r="G16" s="13">
        <f t="shared" si="0"/>
        <v>0</v>
      </c>
      <c r="H16" s="13">
        <f>G16*VLOOKUP($B16,LoadRates!$C$2:$E$6,3,FALSE)</f>
        <v>0</v>
      </c>
      <c r="I16" s="13">
        <f t="shared" si="1"/>
        <v>0</v>
      </c>
    </row>
    <row r="17" spans="1:9" ht="18" customHeight="1" x14ac:dyDescent="0.25">
      <c r="A17" s="11" t="s">
        <v>0</v>
      </c>
      <c r="B17" s="92" t="s">
        <v>12</v>
      </c>
      <c r="C17" s="92" t="s">
        <v>125</v>
      </c>
      <c r="D17" s="92" t="s">
        <v>126</v>
      </c>
      <c r="E17" s="93">
        <v>415008</v>
      </c>
      <c r="F17" s="13">
        <f>E17*(1+VLOOKUP($B17,Salaries!$B$28:$F$32,5,FALSE))</f>
        <v>431608.32000000001</v>
      </c>
      <c r="G17" s="13">
        <f t="shared" si="0"/>
        <v>16600.320000000007</v>
      </c>
      <c r="H17" s="13">
        <f>G17*VLOOKUP($B17,LoadRates!$C$2:$E$6,3,FALSE)</f>
        <v>4033.8777600000017</v>
      </c>
      <c r="I17" s="13">
        <f t="shared" si="1"/>
        <v>20634.19776000001</v>
      </c>
    </row>
    <row r="18" spans="1:9" ht="18" customHeight="1" x14ac:dyDescent="0.25">
      <c r="A18" s="11" t="s">
        <v>0</v>
      </c>
      <c r="B18" s="92" t="s">
        <v>12</v>
      </c>
      <c r="C18" s="92" t="s">
        <v>127</v>
      </c>
      <c r="D18" s="92" t="s">
        <v>128</v>
      </c>
      <c r="E18" s="93">
        <v>0</v>
      </c>
      <c r="F18" s="13">
        <f>E18*(1+VLOOKUP($B18,Salaries!$B$28:$F$32,5,FALSE))</f>
        <v>0</v>
      </c>
      <c r="G18" s="13">
        <f t="shared" si="0"/>
        <v>0</v>
      </c>
      <c r="H18" s="13">
        <f>G18*VLOOKUP($B18,LoadRates!$C$2:$E$6,3,FALSE)</f>
        <v>0</v>
      </c>
      <c r="I18" s="13">
        <f t="shared" si="1"/>
        <v>0</v>
      </c>
    </row>
    <row r="19" spans="1:9" ht="18" customHeight="1" x14ac:dyDescent="0.25">
      <c r="A19" s="11" t="s">
        <v>0</v>
      </c>
      <c r="B19" s="92" t="s">
        <v>51</v>
      </c>
      <c r="C19" s="92" t="s">
        <v>97</v>
      </c>
      <c r="D19" s="92" t="s">
        <v>98</v>
      </c>
      <c r="E19" s="93">
        <v>0</v>
      </c>
      <c r="F19" s="13">
        <f>E19*(1+VLOOKUP($B19,Salaries!$B$28:$F$32,5,FALSE))</f>
        <v>0</v>
      </c>
      <c r="G19" s="13">
        <f t="shared" si="0"/>
        <v>0</v>
      </c>
      <c r="H19" s="13">
        <f>G19*VLOOKUP($B19,LoadRates!$C$2:$E$6,3,FALSE)</f>
        <v>0</v>
      </c>
      <c r="I19" s="13">
        <f t="shared" si="1"/>
        <v>0</v>
      </c>
    </row>
    <row r="20" spans="1:9" ht="18" customHeight="1" x14ac:dyDescent="0.25">
      <c r="A20" s="11" t="s">
        <v>0</v>
      </c>
      <c r="B20" s="92" t="s">
        <v>51</v>
      </c>
      <c r="C20" s="92" t="s">
        <v>99</v>
      </c>
      <c r="D20" s="92" t="s">
        <v>100</v>
      </c>
      <c r="E20" s="93">
        <v>0</v>
      </c>
      <c r="F20" s="13">
        <f>E20*(1+VLOOKUP($B20,Salaries!$B$28:$F$32,5,FALSE))</f>
        <v>0</v>
      </c>
      <c r="G20" s="13">
        <f t="shared" si="0"/>
        <v>0</v>
      </c>
      <c r="H20" s="13">
        <f>G20*VLOOKUP($B20,LoadRates!$C$2:$E$6,3,FALSE)</f>
        <v>0</v>
      </c>
      <c r="I20" s="13">
        <f t="shared" si="1"/>
        <v>0</v>
      </c>
    </row>
    <row r="21" spans="1:9" ht="18" customHeight="1" x14ac:dyDescent="0.25">
      <c r="A21" s="11" t="s">
        <v>0</v>
      </c>
      <c r="B21" s="92" t="s">
        <v>51</v>
      </c>
      <c r="C21" s="92" t="s">
        <v>101</v>
      </c>
      <c r="D21" s="92" t="s">
        <v>102</v>
      </c>
      <c r="E21" s="93">
        <v>0</v>
      </c>
      <c r="F21" s="13">
        <f>E21*(1+VLOOKUP($B21,Salaries!$B$28:$F$32,5,FALSE))</f>
        <v>0</v>
      </c>
      <c r="G21" s="13">
        <f t="shared" si="0"/>
        <v>0</v>
      </c>
      <c r="H21" s="13">
        <f>G21*VLOOKUP($B21,LoadRates!$C$2:$E$6,3,FALSE)</f>
        <v>0</v>
      </c>
      <c r="I21" s="13">
        <f t="shared" si="1"/>
        <v>0</v>
      </c>
    </row>
    <row r="22" spans="1:9" ht="18" customHeight="1" x14ac:dyDescent="0.25">
      <c r="A22" s="11" t="s">
        <v>1</v>
      </c>
      <c r="B22" s="92" t="s">
        <v>51</v>
      </c>
      <c r="C22" s="92" t="s">
        <v>103</v>
      </c>
      <c r="D22" s="92" t="s">
        <v>104</v>
      </c>
      <c r="E22" s="93">
        <v>0</v>
      </c>
      <c r="F22" s="13">
        <f>E22*(1+VLOOKUP($B22,Salaries!$B$28:$F$32,5,FALSE))</f>
        <v>0</v>
      </c>
      <c r="G22" s="13">
        <f t="shared" si="0"/>
        <v>0</v>
      </c>
      <c r="H22" s="13">
        <f>G22*VLOOKUP($B22,LoadRates!$C$2:$E$6,3,FALSE)</f>
        <v>0</v>
      </c>
      <c r="I22" s="13">
        <f t="shared" si="1"/>
        <v>0</v>
      </c>
    </row>
    <row r="23" spans="1:9" ht="18" customHeight="1" x14ac:dyDescent="0.25">
      <c r="A23" s="11" t="s">
        <v>1</v>
      </c>
      <c r="B23" s="92" t="s">
        <v>51</v>
      </c>
      <c r="C23" s="92" t="s">
        <v>105</v>
      </c>
      <c r="D23" s="92" t="s">
        <v>106</v>
      </c>
      <c r="E23" s="93">
        <v>0</v>
      </c>
      <c r="F23" s="13">
        <f>E23*(1+VLOOKUP($B23,Salaries!$B$28:$F$32,5,FALSE))</f>
        <v>0</v>
      </c>
      <c r="G23" s="13">
        <f t="shared" si="0"/>
        <v>0</v>
      </c>
      <c r="H23" s="13">
        <f>G23*VLOOKUP($B23,LoadRates!$C$2:$E$6,3,FALSE)</f>
        <v>0</v>
      </c>
      <c r="I23" s="13">
        <f t="shared" si="1"/>
        <v>0</v>
      </c>
    </row>
    <row r="24" spans="1:9" ht="18" customHeight="1" x14ac:dyDescent="0.25">
      <c r="A24" s="11" t="s">
        <v>1</v>
      </c>
      <c r="B24" s="92" t="s">
        <v>51</v>
      </c>
      <c r="C24" s="92" t="s">
        <v>107</v>
      </c>
      <c r="D24" s="92" t="s">
        <v>108</v>
      </c>
      <c r="E24" s="93">
        <v>0</v>
      </c>
      <c r="F24" s="13">
        <f>E24*(1+VLOOKUP($B24,Salaries!$B$28:$F$32,5,FALSE))</f>
        <v>0</v>
      </c>
      <c r="G24" s="13">
        <f t="shared" si="0"/>
        <v>0</v>
      </c>
      <c r="H24" s="13">
        <f>G24*VLOOKUP($B24,LoadRates!$C$2:$E$6,3,FALSE)</f>
        <v>0</v>
      </c>
      <c r="I24" s="13">
        <f t="shared" si="1"/>
        <v>0</v>
      </c>
    </row>
    <row r="25" spans="1:9" ht="18" customHeight="1" x14ac:dyDescent="0.25">
      <c r="A25" s="11" t="s">
        <v>1</v>
      </c>
      <c r="B25" s="92" t="s">
        <v>51</v>
      </c>
      <c r="C25" s="92" t="s">
        <v>109</v>
      </c>
      <c r="D25" s="92" t="s">
        <v>110</v>
      </c>
      <c r="E25" s="93">
        <v>0</v>
      </c>
      <c r="F25" s="13">
        <f>E25*(1+VLOOKUP($B25,Salaries!$B$28:$F$32,5,FALSE))</f>
        <v>0</v>
      </c>
      <c r="G25" s="13">
        <f t="shared" si="0"/>
        <v>0</v>
      </c>
      <c r="H25" s="13">
        <f>G25*VLOOKUP($B25,LoadRates!$C$2:$E$6,3,FALSE)</f>
        <v>0</v>
      </c>
      <c r="I25" s="13">
        <f t="shared" si="1"/>
        <v>0</v>
      </c>
    </row>
    <row r="26" spans="1:9" ht="18" customHeight="1" x14ac:dyDescent="0.25">
      <c r="A26" s="11" t="s">
        <v>1</v>
      </c>
      <c r="B26" s="92" t="s">
        <v>51</v>
      </c>
      <c r="C26" s="92" t="s">
        <v>111</v>
      </c>
      <c r="D26" s="92" t="s">
        <v>112</v>
      </c>
      <c r="E26" s="93">
        <v>0</v>
      </c>
      <c r="F26" s="13">
        <f>E26*(1+VLOOKUP($B26,Salaries!$B$28:$F$32,5,FALSE))</f>
        <v>0</v>
      </c>
      <c r="G26" s="13">
        <f t="shared" si="0"/>
        <v>0</v>
      </c>
      <c r="H26" s="13">
        <f>G26*VLOOKUP($B26,LoadRates!$C$2:$E$6,3,FALSE)</f>
        <v>0</v>
      </c>
      <c r="I26" s="13">
        <f t="shared" si="1"/>
        <v>0</v>
      </c>
    </row>
    <row r="27" spans="1:9" ht="18" customHeight="1" x14ac:dyDescent="0.25">
      <c r="A27" s="11" t="s">
        <v>1</v>
      </c>
      <c r="B27" s="92" t="s">
        <v>51</v>
      </c>
      <c r="C27" s="92" t="s">
        <v>113</v>
      </c>
      <c r="D27" s="92" t="s">
        <v>114</v>
      </c>
      <c r="E27" s="93">
        <v>0</v>
      </c>
      <c r="F27" s="13">
        <f>E27*(1+VLOOKUP($B27,Salaries!$B$28:$F$32,5,FALSE))</f>
        <v>0</v>
      </c>
      <c r="G27" s="13">
        <f t="shared" si="0"/>
        <v>0</v>
      </c>
      <c r="H27" s="13">
        <f>G27*VLOOKUP($B27,LoadRates!$C$2:$E$6,3,FALSE)</f>
        <v>0</v>
      </c>
      <c r="I27" s="13">
        <f t="shared" si="1"/>
        <v>0</v>
      </c>
    </row>
    <row r="28" spans="1:9" ht="18" customHeight="1" x14ac:dyDescent="0.25">
      <c r="A28" s="11" t="s">
        <v>1</v>
      </c>
      <c r="B28" s="92" t="s">
        <v>51</v>
      </c>
      <c r="C28" s="92" t="s">
        <v>115</v>
      </c>
      <c r="D28" s="92" t="s">
        <v>116</v>
      </c>
      <c r="E28" s="93">
        <v>0</v>
      </c>
      <c r="F28" s="13">
        <f>E28*(1+VLOOKUP($B28,Salaries!$B$28:$F$32,5,FALSE))</f>
        <v>0</v>
      </c>
      <c r="G28" s="13">
        <f t="shared" si="0"/>
        <v>0</v>
      </c>
      <c r="H28" s="13">
        <f>G28*VLOOKUP($B28,LoadRates!$C$2:$E$6,3,FALSE)</f>
        <v>0</v>
      </c>
      <c r="I28" s="13">
        <f t="shared" si="1"/>
        <v>0</v>
      </c>
    </row>
    <row r="29" spans="1:9" ht="18" customHeight="1" x14ac:dyDescent="0.25">
      <c r="A29" s="11" t="s">
        <v>1</v>
      </c>
      <c r="B29" s="92" t="s">
        <v>51</v>
      </c>
      <c r="C29" s="92" t="s">
        <v>117</v>
      </c>
      <c r="D29" s="92" t="s">
        <v>118</v>
      </c>
      <c r="E29" s="93">
        <v>0</v>
      </c>
      <c r="F29" s="13">
        <f>E29*(1+VLOOKUP($B29,Salaries!$B$28:$F$32,5,FALSE))</f>
        <v>0</v>
      </c>
      <c r="G29" s="13">
        <f t="shared" si="0"/>
        <v>0</v>
      </c>
      <c r="H29" s="13">
        <f>G29*VLOOKUP($B29,LoadRates!$C$2:$E$6,3,FALSE)</f>
        <v>0</v>
      </c>
      <c r="I29" s="13">
        <f t="shared" si="1"/>
        <v>0</v>
      </c>
    </row>
    <row r="30" spans="1:9" ht="18" customHeight="1" x14ac:dyDescent="0.25">
      <c r="A30" s="11" t="s">
        <v>1</v>
      </c>
      <c r="B30" s="92" t="s">
        <v>51</v>
      </c>
      <c r="C30" s="92" t="s">
        <v>119</v>
      </c>
      <c r="D30" s="92" t="s">
        <v>120</v>
      </c>
      <c r="E30" s="93">
        <v>0</v>
      </c>
      <c r="F30" s="13">
        <f>E30*(1+VLOOKUP($B30,Salaries!$B$28:$F$32,5,FALSE))</f>
        <v>0</v>
      </c>
      <c r="G30" s="13">
        <f t="shared" si="0"/>
        <v>0</v>
      </c>
      <c r="H30" s="13">
        <f>G30*VLOOKUP($B30,LoadRates!$C$2:$E$6,3,FALSE)</f>
        <v>0</v>
      </c>
      <c r="I30" s="13">
        <f t="shared" si="1"/>
        <v>0</v>
      </c>
    </row>
    <row r="31" spans="1:9" ht="18" customHeight="1" x14ac:dyDescent="0.25">
      <c r="A31" s="11" t="s">
        <v>1</v>
      </c>
      <c r="B31" s="92" t="s">
        <v>51</v>
      </c>
      <c r="C31" s="92" t="s">
        <v>121</v>
      </c>
      <c r="D31" s="92" t="s">
        <v>122</v>
      </c>
      <c r="E31" s="93">
        <v>0</v>
      </c>
      <c r="F31" s="13">
        <f>E31*(1+VLOOKUP($B31,Salaries!$B$28:$F$32,5,FALSE))</f>
        <v>0</v>
      </c>
      <c r="G31" s="13">
        <f t="shared" si="0"/>
        <v>0</v>
      </c>
      <c r="H31" s="13">
        <f>G31*VLOOKUP($B31,LoadRates!$C$2:$E$6,3,FALSE)</f>
        <v>0</v>
      </c>
      <c r="I31" s="13">
        <f t="shared" si="1"/>
        <v>0</v>
      </c>
    </row>
    <row r="32" spans="1:9" ht="18" customHeight="1" x14ac:dyDescent="0.25">
      <c r="A32" s="11" t="s">
        <v>1</v>
      </c>
      <c r="B32" s="92" t="s">
        <v>51</v>
      </c>
      <c r="C32" s="92" t="s">
        <v>123</v>
      </c>
      <c r="D32" s="92" t="s">
        <v>124</v>
      </c>
      <c r="E32" s="93">
        <v>0</v>
      </c>
      <c r="F32" s="13">
        <f>E32*(1+VLOOKUP($B32,Salaries!$B$28:$F$32,5,FALSE))</f>
        <v>0</v>
      </c>
      <c r="G32" s="13">
        <f t="shared" si="0"/>
        <v>0</v>
      </c>
      <c r="H32" s="13">
        <f>G32*VLOOKUP($B32,LoadRates!$C$2:$E$6,3,FALSE)</f>
        <v>0</v>
      </c>
      <c r="I32" s="13">
        <f t="shared" si="1"/>
        <v>0</v>
      </c>
    </row>
    <row r="33" spans="1:9" ht="18" customHeight="1" x14ac:dyDescent="0.25">
      <c r="A33" s="11" t="s">
        <v>1</v>
      </c>
      <c r="B33" s="92" t="s">
        <v>51</v>
      </c>
      <c r="C33" s="92" t="s">
        <v>125</v>
      </c>
      <c r="D33" s="92" t="s">
        <v>126</v>
      </c>
      <c r="E33" s="93">
        <v>0</v>
      </c>
      <c r="F33" s="13">
        <f>E33*(1+VLOOKUP($B33,Salaries!$B$28:$F$32,5,FALSE))</f>
        <v>0</v>
      </c>
      <c r="G33" s="13">
        <f t="shared" si="0"/>
        <v>0</v>
      </c>
      <c r="H33" s="13">
        <f>G33*VLOOKUP($B33,LoadRates!$C$2:$E$6,3,FALSE)</f>
        <v>0</v>
      </c>
      <c r="I33" s="13">
        <f t="shared" si="1"/>
        <v>0</v>
      </c>
    </row>
    <row r="34" spans="1:9" ht="18" customHeight="1" x14ac:dyDescent="0.25">
      <c r="A34" s="11" t="s">
        <v>1</v>
      </c>
      <c r="B34" s="92" t="s">
        <v>51</v>
      </c>
      <c r="C34" s="92" t="s">
        <v>127</v>
      </c>
      <c r="D34" s="92" t="s">
        <v>128</v>
      </c>
      <c r="E34" s="93">
        <v>0</v>
      </c>
      <c r="F34" s="13">
        <f>E34*(1+VLOOKUP($B34,Salaries!$B$28:$F$32,5,FALSE))</f>
        <v>0</v>
      </c>
      <c r="G34" s="13">
        <f t="shared" si="0"/>
        <v>0</v>
      </c>
      <c r="H34" s="13">
        <f>G34*VLOOKUP($B34,LoadRates!$C$2:$E$6,3,FALSE)</f>
        <v>0</v>
      </c>
      <c r="I34" s="13">
        <f t="shared" si="1"/>
        <v>0</v>
      </c>
    </row>
    <row r="35" spans="1:9" ht="18" customHeight="1" x14ac:dyDescent="0.25">
      <c r="A35" s="11" t="s">
        <v>1</v>
      </c>
      <c r="B35" s="92" t="s">
        <v>53</v>
      </c>
      <c r="C35" s="92" t="s">
        <v>97</v>
      </c>
      <c r="D35" s="92" t="s">
        <v>98</v>
      </c>
      <c r="E35" s="93">
        <v>1546752</v>
      </c>
      <c r="F35" s="13">
        <f>E35*(1+VLOOKUP($B35,Salaries!$B$28:$F$32,5,FALSE))</f>
        <v>1608622.0800000001</v>
      </c>
      <c r="G35" s="13">
        <f t="shared" si="0"/>
        <v>61870.080000000075</v>
      </c>
      <c r="H35" s="13">
        <f>G35*VLOOKUP($B35,LoadRates!$C$2:$E$6,3,FALSE)</f>
        <v>18870.374400000022</v>
      </c>
      <c r="I35" s="13">
        <f t="shared" si="1"/>
        <v>80740.454400000104</v>
      </c>
    </row>
    <row r="36" spans="1:9" ht="18" customHeight="1" x14ac:dyDescent="0.25">
      <c r="A36" s="11" t="s">
        <v>1</v>
      </c>
      <c r="B36" s="92" t="s">
        <v>53</v>
      </c>
      <c r="C36" s="92" t="s">
        <v>99</v>
      </c>
      <c r="D36" s="92" t="s">
        <v>100</v>
      </c>
      <c r="E36" s="93">
        <v>93036</v>
      </c>
      <c r="F36" s="13">
        <f>E36*(1+VLOOKUP($B36,Salaries!$B$28:$F$32,5,FALSE))</f>
        <v>96757.440000000002</v>
      </c>
      <c r="G36" s="13">
        <f t="shared" si="0"/>
        <v>3721.4400000000023</v>
      </c>
      <c r="H36" s="13">
        <f>G36*VLOOKUP($B36,LoadRates!$C$2:$E$6,3,FALSE)</f>
        <v>1135.0392000000006</v>
      </c>
      <c r="I36" s="13">
        <f t="shared" si="1"/>
        <v>4856.4792000000034</v>
      </c>
    </row>
    <row r="37" spans="1:9" ht="18" customHeight="1" x14ac:dyDescent="0.25">
      <c r="A37" s="11" t="s">
        <v>1</v>
      </c>
      <c r="B37" s="92" t="s">
        <v>53</v>
      </c>
      <c r="C37" s="92" t="s">
        <v>101</v>
      </c>
      <c r="D37" s="92" t="s">
        <v>102</v>
      </c>
      <c r="E37" s="93">
        <v>8097336</v>
      </c>
      <c r="F37" s="13">
        <f>E37*(1+VLOOKUP($B37,Salaries!$B$28:$F$32,5,FALSE))</f>
        <v>8421229.4399999995</v>
      </c>
      <c r="G37" s="13">
        <f t="shared" si="0"/>
        <v>323893.43999999948</v>
      </c>
      <c r="H37" s="13">
        <f>G37*VLOOKUP($B37,LoadRates!$C$2:$E$6,3,FALSE)</f>
        <v>98787.499199999846</v>
      </c>
      <c r="I37" s="13">
        <f t="shared" si="1"/>
        <v>422680.93919999932</v>
      </c>
    </row>
    <row r="38" spans="1:9" ht="18" customHeight="1" x14ac:dyDescent="0.25">
      <c r="A38" s="11" t="s">
        <v>1</v>
      </c>
      <c r="B38" s="92" t="s">
        <v>53</v>
      </c>
      <c r="C38" s="92" t="s">
        <v>103</v>
      </c>
      <c r="D38" s="92" t="s">
        <v>104</v>
      </c>
      <c r="E38" s="93">
        <v>5080368</v>
      </c>
      <c r="F38" s="13">
        <f>E38*(1+VLOOKUP($B38,Salaries!$B$28:$F$32,5,FALSE))</f>
        <v>5283582.72</v>
      </c>
      <c r="G38" s="13">
        <f t="shared" si="0"/>
        <v>203214.71999999974</v>
      </c>
      <c r="H38" s="13">
        <f>G38*VLOOKUP($B38,LoadRates!$C$2:$E$6,3,FALSE)</f>
        <v>61980.489599999921</v>
      </c>
      <c r="I38" s="13">
        <f t="shared" si="1"/>
        <v>265195.20959999965</v>
      </c>
    </row>
    <row r="39" spans="1:9" ht="18" customHeight="1" x14ac:dyDescent="0.25">
      <c r="A39" s="11" t="s">
        <v>1</v>
      </c>
      <c r="B39" s="92" t="s">
        <v>53</v>
      </c>
      <c r="C39" s="92" t="s">
        <v>105</v>
      </c>
      <c r="D39" s="92" t="s">
        <v>106</v>
      </c>
      <c r="E39" s="93">
        <v>4070175</v>
      </c>
      <c r="F39" s="13">
        <f>E39*(1+VLOOKUP($B39,Salaries!$B$28:$F$32,5,FALSE))</f>
        <v>4232982</v>
      </c>
      <c r="G39" s="13">
        <f t="shared" si="0"/>
        <v>162807</v>
      </c>
      <c r="H39" s="13">
        <f>G39*VLOOKUP($B39,LoadRates!$C$2:$E$6,3,FALSE)</f>
        <v>49656.135000000002</v>
      </c>
      <c r="I39" s="13">
        <f t="shared" si="1"/>
        <v>212463.13500000001</v>
      </c>
    </row>
    <row r="40" spans="1:9" ht="18" customHeight="1" x14ac:dyDescent="0.25">
      <c r="A40" s="11" t="s">
        <v>1</v>
      </c>
      <c r="B40" s="92" t="s">
        <v>53</v>
      </c>
      <c r="C40" s="92" t="s">
        <v>107</v>
      </c>
      <c r="D40" s="92" t="s">
        <v>108</v>
      </c>
      <c r="E40" s="93">
        <v>9316380</v>
      </c>
      <c r="F40" s="13">
        <f>E40*(1+VLOOKUP($B40,Salaries!$B$28:$F$32,5,FALSE))</f>
        <v>9689035.2000000011</v>
      </c>
      <c r="G40" s="13">
        <f t="shared" si="0"/>
        <v>372655.20000000112</v>
      </c>
      <c r="H40" s="13">
        <f>G40*VLOOKUP($B40,LoadRates!$C$2:$E$6,3,FALSE)</f>
        <v>113659.83600000034</v>
      </c>
      <c r="I40" s="13">
        <f t="shared" si="1"/>
        <v>486315.03600000148</v>
      </c>
    </row>
    <row r="41" spans="1:9" ht="18" customHeight="1" x14ac:dyDescent="0.25">
      <c r="A41" s="11" t="s">
        <v>1</v>
      </c>
      <c r="B41" s="92" t="s">
        <v>53</v>
      </c>
      <c r="C41" s="92" t="s">
        <v>109</v>
      </c>
      <c r="D41" s="92" t="s">
        <v>110</v>
      </c>
      <c r="E41" s="93">
        <v>20821970</v>
      </c>
      <c r="F41" s="13">
        <f>E41*(1+VLOOKUP($B41,Salaries!$B$28:$F$32,5,FALSE))</f>
        <v>21654848.800000001</v>
      </c>
      <c r="G41" s="13">
        <f t="shared" si="0"/>
        <v>832878.80000000075</v>
      </c>
      <c r="H41" s="13">
        <f>G41*VLOOKUP($B41,LoadRates!$C$2:$E$6,3,FALSE)</f>
        <v>254028.03400000022</v>
      </c>
      <c r="I41" s="13">
        <f t="shared" si="1"/>
        <v>1086906.834000001</v>
      </c>
    </row>
    <row r="42" spans="1:9" ht="18" customHeight="1" x14ac:dyDescent="0.25">
      <c r="A42" s="11" t="s">
        <v>52</v>
      </c>
      <c r="B42" s="92" t="s">
        <v>53</v>
      </c>
      <c r="C42" s="92" t="s">
        <v>111</v>
      </c>
      <c r="D42" s="92" t="s">
        <v>112</v>
      </c>
      <c r="E42" s="93">
        <v>6966348</v>
      </c>
      <c r="F42" s="13">
        <f>E42*(1+VLOOKUP($B42,Salaries!$B$28:$F$32,5,FALSE))</f>
        <v>7245001.9199999999</v>
      </c>
      <c r="G42" s="13">
        <f t="shared" si="0"/>
        <v>278653.91999999993</v>
      </c>
      <c r="H42" s="13">
        <f>G42*VLOOKUP($B42,LoadRates!$C$2:$E$6,3,FALSE)</f>
        <v>84989.445599999977</v>
      </c>
      <c r="I42" s="13">
        <f t="shared" si="1"/>
        <v>363643.3655999999</v>
      </c>
    </row>
    <row r="43" spans="1:9" ht="18" customHeight="1" x14ac:dyDescent="0.25">
      <c r="A43" s="11" t="s">
        <v>52</v>
      </c>
      <c r="B43" s="92" t="s">
        <v>53</v>
      </c>
      <c r="C43" s="92" t="s">
        <v>113</v>
      </c>
      <c r="D43" s="92" t="s">
        <v>114</v>
      </c>
      <c r="E43" s="93">
        <v>26887152</v>
      </c>
      <c r="F43" s="13">
        <f>E43*(1+VLOOKUP($B43,Salaries!$B$28:$F$32,5,FALSE))</f>
        <v>27962638.080000002</v>
      </c>
      <c r="G43" s="13">
        <f t="shared" si="0"/>
        <v>1075486.0800000019</v>
      </c>
      <c r="H43" s="13">
        <f>G43*VLOOKUP($B43,LoadRates!$C$2:$E$6,3,FALSE)</f>
        <v>328023.25440000056</v>
      </c>
      <c r="I43" s="13">
        <f t="shared" si="1"/>
        <v>1403509.3344000024</v>
      </c>
    </row>
    <row r="44" spans="1:9" ht="18" customHeight="1" x14ac:dyDescent="0.25">
      <c r="A44" s="11" t="s">
        <v>52</v>
      </c>
      <c r="B44" s="92" t="s">
        <v>53</v>
      </c>
      <c r="C44" s="92" t="s">
        <v>115</v>
      </c>
      <c r="D44" s="92" t="s">
        <v>116</v>
      </c>
      <c r="E44" s="93">
        <v>4951376</v>
      </c>
      <c r="F44" s="13">
        <f>E44*(1+VLOOKUP($B44,Salaries!$B$28:$F$32,5,FALSE))</f>
        <v>5149431.04</v>
      </c>
      <c r="G44" s="13">
        <f t="shared" si="0"/>
        <v>198055.04000000004</v>
      </c>
      <c r="H44" s="13">
        <f>G44*VLOOKUP($B44,LoadRates!$C$2:$E$6,3,FALSE)</f>
        <v>60406.787200000013</v>
      </c>
      <c r="I44" s="13">
        <f t="shared" si="1"/>
        <v>258461.82720000006</v>
      </c>
    </row>
    <row r="45" spans="1:9" ht="18" customHeight="1" x14ac:dyDescent="0.25">
      <c r="A45" s="11" t="s">
        <v>52</v>
      </c>
      <c r="B45" s="92" t="s">
        <v>53</v>
      </c>
      <c r="C45" s="92" t="s">
        <v>117</v>
      </c>
      <c r="D45" s="92" t="s">
        <v>118</v>
      </c>
      <c r="E45" s="93">
        <v>1521240</v>
      </c>
      <c r="F45" s="13">
        <f>E45*(1+VLOOKUP($B45,Salaries!$B$28:$F$32,5,FALSE))</f>
        <v>1582089.6</v>
      </c>
      <c r="G45" s="13">
        <f t="shared" si="0"/>
        <v>60849.600000000093</v>
      </c>
      <c r="H45" s="13">
        <f>G45*VLOOKUP($B45,LoadRates!$C$2:$E$6,3,FALSE)</f>
        <v>18559.12800000003</v>
      </c>
      <c r="I45" s="13">
        <f t="shared" si="1"/>
        <v>79408.728000000119</v>
      </c>
    </row>
    <row r="46" spans="1:9" ht="18" customHeight="1" x14ac:dyDescent="0.25">
      <c r="A46" s="11" t="s">
        <v>52</v>
      </c>
      <c r="B46" s="92" t="s">
        <v>53</v>
      </c>
      <c r="C46" s="92" t="s">
        <v>119</v>
      </c>
      <c r="D46" s="92" t="s">
        <v>120</v>
      </c>
      <c r="E46" s="93">
        <v>11794863</v>
      </c>
      <c r="F46" s="13">
        <f>E46*(1+VLOOKUP($B46,Salaries!$B$28:$F$32,5,FALSE))</f>
        <v>12266657.52</v>
      </c>
      <c r="G46" s="13">
        <f t="shared" si="0"/>
        <v>471794.51999999955</v>
      </c>
      <c r="H46" s="13">
        <f>G46*VLOOKUP($B46,LoadRates!$C$2:$E$6,3,FALSE)</f>
        <v>143897.32859999986</v>
      </c>
      <c r="I46" s="13">
        <f t="shared" si="1"/>
        <v>615691.84859999944</v>
      </c>
    </row>
    <row r="47" spans="1:9" ht="18" customHeight="1" x14ac:dyDescent="0.25">
      <c r="A47" s="11" t="s">
        <v>52</v>
      </c>
      <c r="B47" s="92" t="s">
        <v>53</v>
      </c>
      <c r="C47" s="92" t="s">
        <v>121</v>
      </c>
      <c r="D47" s="92" t="s">
        <v>122</v>
      </c>
      <c r="E47" s="93">
        <v>7029004</v>
      </c>
      <c r="F47" s="13">
        <f>E47*(1+VLOOKUP($B47,Salaries!$B$28:$F$32,5,FALSE))</f>
        <v>7310164.1600000001</v>
      </c>
      <c r="G47" s="13">
        <f t="shared" si="0"/>
        <v>281160.16000000015</v>
      </c>
      <c r="H47" s="13">
        <f>G47*VLOOKUP($B47,LoadRates!$C$2:$E$6,3,FALSE)</f>
        <v>85753.848800000051</v>
      </c>
      <c r="I47" s="13">
        <f t="shared" si="1"/>
        <v>366914.00880000019</v>
      </c>
    </row>
    <row r="48" spans="1:9" ht="18" customHeight="1" x14ac:dyDescent="0.25">
      <c r="A48" s="11" t="s">
        <v>52</v>
      </c>
      <c r="B48" s="92" t="s">
        <v>53</v>
      </c>
      <c r="C48" s="92" t="s">
        <v>123</v>
      </c>
      <c r="D48" s="92" t="s">
        <v>124</v>
      </c>
      <c r="E48" s="93">
        <v>308472</v>
      </c>
      <c r="F48" s="13">
        <f>E48*(1+VLOOKUP($B48,Salaries!$B$28:$F$32,5,FALSE))</f>
        <v>320810.88</v>
      </c>
      <c r="G48" s="13">
        <f t="shared" si="0"/>
        <v>12338.880000000005</v>
      </c>
      <c r="H48" s="13">
        <f>G48*VLOOKUP($B48,LoadRates!$C$2:$E$6,3,FALSE)</f>
        <v>3763.3584000000014</v>
      </c>
      <c r="I48" s="13">
        <f t="shared" si="1"/>
        <v>16102.238400000006</v>
      </c>
    </row>
    <row r="49" spans="1:9" ht="18" customHeight="1" x14ac:dyDescent="0.25">
      <c r="A49" s="11" t="s">
        <v>52</v>
      </c>
      <c r="B49" s="92" t="s">
        <v>53</v>
      </c>
      <c r="C49" s="92" t="s">
        <v>125</v>
      </c>
      <c r="D49" s="92" t="s">
        <v>126</v>
      </c>
      <c r="E49" s="93">
        <v>5892264</v>
      </c>
      <c r="F49" s="13">
        <f>E49*(1+VLOOKUP($B49,Salaries!$B$28:$F$32,5,FALSE))</f>
        <v>6127954.5600000005</v>
      </c>
      <c r="G49" s="13">
        <f t="shared" si="0"/>
        <v>235690.56000000052</v>
      </c>
      <c r="H49" s="13">
        <f>G49*VLOOKUP($B49,LoadRates!$C$2:$E$6,3,FALSE)</f>
        <v>71885.620800000164</v>
      </c>
      <c r="I49" s="13">
        <f t="shared" si="1"/>
        <v>307576.18080000067</v>
      </c>
    </row>
    <row r="50" spans="1:9" ht="18" customHeight="1" x14ac:dyDescent="0.25">
      <c r="A50" s="11" t="s">
        <v>52</v>
      </c>
      <c r="B50" s="92" t="s">
        <v>53</v>
      </c>
      <c r="C50" s="92" t="s">
        <v>127</v>
      </c>
      <c r="D50" s="92" t="s">
        <v>128</v>
      </c>
      <c r="E50" s="93">
        <v>703164</v>
      </c>
      <c r="F50" s="13">
        <f>E50*(1+VLOOKUP($B50,Salaries!$B$28:$F$32,5,FALSE))</f>
        <v>731290.56</v>
      </c>
      <c r="G50" s="13">
        <f t="shared" si="0"/>
        <v>28126.560000000056</v>
      </c>
      <c r="H50" s="13">
        <f>G50*VLOOKUP($B50,LoadRates!$C$2:$E$6,3,FALSE)</f>
        <v>8578.6008000000165</v>
      </c>
      <c r="I50" s="13">
        <f t="shared" si="1"/>
        <v>36705.160800000071</v>
      </c>
    </row>
    <row r="51" spans="1:9" ht="18" customHeight="1" x14ac:dyDescent="0.25">
      <c r="A51" s="11" t="s">
        <v>52</v>
      </c>
      <c r="B51" s="92" t="s">
        <v>55</v>
      </c>
      <c r="C51" s="92" t="s">
        <v>97</v>
      </c>
      <c r="D51" s="92" t="s">
        <v>98</v>
      </c>
      <c r="E51" s="93">
        <v>0</v>
      </c>
      <c r="F51" s="13">
        <f>E51*(1+VLOOKUP($B51,Salaries!$B$28:$F$32,5,FALSE))</f>
        <v>0</v>
      </c>
      <c r="G51" s="13">
        <f t="shared" si="0"/>
        <v>0</v>
      </c>
      <c r="H51" s="13">
        <f>G51*VLOOKUP($B51,LoadRates!$C$2:$E$6,3,FALSE)</f>
        <v>0</v>
      </c>
      <c r="I51" s="13">
        <f t="shared" si="1"/>
        <v>0</v>
      </c>
    </row>
    <row r="52" spans="1:9" ht="18" customHeight="1" x14ac:dyDescent="0.25">
      <c r="A52" s="11" t="s">
        <v>52</v>
      </c>
      <c r="B52" s="92" t="s">
        <v>55</v>
      </c>
      <c r="C52" s="92" t="s">
        <v>99</v>
      </c>
      <c r="D52" s="92" t="s">
        <v>100</v>
      </c>
      <c r="E52" s="93">
        <v>339516</v>
      </c>
      <c r="F52" s="13">
        <f>E52*(1+VLOOKUP($B52,Salaries!$B$28:$F$32,5,FALSE))</f>
        <v>346306.32</v>
      </c>
      <c r="G52" s="13">
        <f t="shared" si="0"/>
        <v>6790.320000000007</v>
      </c>
      <c r="H52" s="13">
        <f>G52*VLOOKUP($B52,LoadRates!$C$2:$E$6,3,FALSE)</f>
        <v>2675.3860800000029</v>
      </c>
      <c r="I52" s="13">
        <f t="shared" si="1"/>
        <v>9465.7060800000108</v>
      </c>
    </row>
    <row r="53" spans="1:9" ht="18" customHeight="1" x14ac:dyDescent="0.25">
      <c r="A53" s="11" t="s">
        <v>52</v>
      </c>
      <c r="B53" s="92" t="s">
        <v>55</v>
      </c>
      <c r="C53" s="92" t="s">
        <v>101</v>
      </c>
      <c r="D53" s="92" t="s">
        <v>102</v>
      </c>
      <c r="E53" s="93">
        <v>2110716</v>
      </c>
      <c r="F53" s="13">
        <f>E53*(1+VLOOKUP($B53,Salaries!$B$28:$F$32,5,FALSE))</f>
        <v>2152930.3199999998</v>
      </c>
      <c r="G53" s="13">
        <f t="shared" si="0"/>
        <v>42214.319999999832</v>
      </c>
      <c r="H53" s="13">
        <f>G53*VLOOKUP($B53,LoadRates!$C$2:$E$6,3,FALSE)</f>
        <v>16632.442079999935</v>
      </c>
      <c r="I53" s="13">
        <f t="shared" si="1"/>
        <v>58846.762079999768</v>
      </c>
    </row>
    <row r="54" spans="1:9" ht="18" customHeight="1" x14ac:dyDescent="0.25">
      <c r="A54" s="11" t="s">
        <v>52</v>
      </c>
      <c r="B54" s="92" t="s">
        <v>55</v>
      </c>
      <c r="C54" s="92" t="s">
        <v>103</v>
      </c>
      <c r="D54" s="92" t="s">
        <v>104</v>
      </c>
      <c r="E54" s="93">
        <v>0</v>
      </c>
      <c r="F54" s="13">
        <f>E54*(1+VLOOKUP($B54,Salaries!$B$28:$F$32,5,FALSE))</f>
        <v>0</v>
      </c>
      <c r="G54" s="13">
        <f t="shared" si="0"/>
        <v>0</v>
      </c>
      <c r="H54" s="13">
        <f>G54*VLOOKUP($B54,LoadRates!$C$2:$E$6,3,FALSE)</f>
        <v>0</v>
      </c>
      <c r="I54" s="13">
        <f t="shared" si="1"/>
        <v>0</v>
      </c>
    </row>
    <row r="55" spans="1:9" ht="18" customHeight="1" x14ac:dyDescent="0.25">
      <c r="A55" s="11" t="s">
        <v>52</v>
      </c>
      <c r="B55" s="92" t="s">
        <v>55</v>
      </c>
      <c r="C55" s="92" t="s">
        <v>105</v>
      </c>
      <c r="D55" s="92" t="s">
        <v>106</v>
      </c>
      <c r="E55" s="93">
        <v>438744</v>
      </c>
      <c r="F55" s="13">
        <f>E55*(1+VLOOKUP($B55,Salaries!$B$28:$F$32,5,FALSE))</f>
        <v>447518.88</v>
      </c>
      <c r="G55" s="13">
        <f t="shared" si="0"/>
        <v>8774.8800000000047</v>
      </c>
      <c r="H55" s="13">
        <f>G55*VLOOKUP($B55,LoadRates!$C$2:$E$6,3,FALSE)</f>
        <v>3457.302720000002</v>
      </c>
      <c r="I55" s="13">
        <f t="shared" si="1"/>
        <v>12232.182720000006</v>
      </c>
    </row>
    <row r="56" spans="1:9" ht="18" customHeight="1" x14ac:dyDescent="0.25">
      <c r="A56" s="11" t="s">
        <v>52</v>
      </c>
      <c r="B56" s="92" t="s">
        <v>55</v>
      </c>
      <c r="C56" s="92" t="s">
        <v>107</v>
      </c>
      <c r="D56" s="92" t="s">
        <v>108</v>
      </c>
      <c r="E56" s="93">
        <v>5137010</v>
      </c>
      <c r="F56" s="13">
        <f>E56*(1+VLOOKUP($B56,Salaries!$B$28:$F$32,5,FALSE))</f>
        <v>5239750.2</v>
      </c>
      <c r="G56" s="13">
        <f t="shared" si="0"/>
        <v>102740.20000000019</v>
      </c>
      <c r="H56" s="13">
        <f>G56*VLOOKUP($B56,LoadRates!$C$2:$E$6,3,FALSE)</f>
        <v>40479.638800000073</v>
      </c>
      <c r="I56" s="13">
        <f t="shared" si="1"/>
        <v>143219.83880000026</v>
      </c>
    </row>
    <row r="57" spans="1:9" ht="18" customHeight="1" x14ac:dyDescent="0.25">
      <c r="A57" s="11" t="s">
        <v>52</v>
      </c>
      <c r="B57" s="92" t="s">
        <v>55</v>
      </c>
      <c r="C57" s="92" t="s">
        <v>109</v>
      </c>
      <c r="D57" s="92" t="s">
        <v>110</v>
      </c>
      <c r="E57" s="93">
        <v>30696948</v>
      </c>
      <c r="F57" s="13">
        <f>E57*(1+VLOOKUP($B57,Salaries!$B$28:$F$32,5,FALSE))</f>
        <v>31310886.960000001</v>
      </c>
      <c r="G57" s="13">
        <f t="shared" si="0"/>
        <v>613938.96000000089</v>
      </c>
      <c r="H57" s="13">
        <f>G57*VLOOKUP($B57,LoadRates!$C$2:$E$6,3,FALSE)</f>
        <v>241891.95024000035</v>
      </c>
      <c r="I57" s="13">
        <f t="shared" si="1"/>
        <v>855830.91024000128</v>
      </c>
    </row>
    <row r="58" spans="1:9" ht="18" customHeight="1" x14ac:dyDescent="0.25">
      <c r="A58" s="11" t="s">
        <v>52</v>
      </c>
      <c r="B58" s="92" t="s">
        <v>55</v>
      </c>
      <c r="C58" s="92" t="s">
        <v>111</v>
      </c>
      <c r="D58" s="92" t="s">
        <v>112</v>
      </c>
      <c r="E58" s="93">
        <v>423264</v>
      </c>
      <c r="F58" s="13">
        <f>E58*(1+VLOOKUP($B58,Salaries!$B$28:$F$32,5,FALSE))</f>
        <v>431729.28</v>
      </c>
      <c r="G58" s="13">
        <f t="shared" si="0"/>
        <v>8465.2800000000279</v>
      </c>
      <c r="H58" s="13">
        <f>G58*VLOOKUP($B58,LoadRates!$C$2:$E$6,3,FALSE)</f>
        <v>3335.3203200000112</v>
      </c>
      <c r="I58" s="13">
        <f t="shared" si="1"/>
        <v>11800.60032000004</v>
      </c>
    </row>
    <row r="59" spans="1:9" ht="18" customHeight="1" x14ac:dyDescent="0.25">
      <c r="A59" s="11" t="s">
        <v>52</v>
      </c>
      <c r="B59" s="92" t="s">
        <v>55</v>
      </c>
      <c r="C59" s="92" t="s">
        <v>113</v>
      </c>
      <c r="D59" s="92" t="s">
        <v>114</v>
      </c>
      <c r="E59" s="93">
        <v>1666500</v>
      </c>
      <c r="F59" s="13">
        <f>E59*(1+VLOOKUP($B59,Salaries!$B$28:$F$32,5,FALSE))</f>
        <v>1699830</v>
      </c>
      <c r="G59" s="13">
        <f t="shared" si="0"/>
        <v>33330</v>
      </c>
      <c r="H59" s="13">
        <f>G59*VLOOKUP($B59,LoadRates!$C$2:$E$6,3,FALSE)</f>
        <v>13132.02</v>
      </c>
      <c r="I59" s="13">
        <f t="shared" si="1"/>
        <v>46462.020000000004</v>
      </c>
    </row>
    <row r="60" spans="1:9" ht="18" customHeight="1" x14ac:dyDescent="0.25">
      <c r="A60" s="11" t="s">
        <v>52</v>
      </c>
      <c r="B60" s="92" t="s">
        <v>55</v>
      </c>
      <c r="C60" s="92" t="s">
        <v>115</v>
      </c>
      <c r="D60" s="92" t="s">
        <v>116</v>
      </c>
      <c r="E60" s="93">
        <v>4240356</v>
      </c>
      <c r="F60" s="13">
        <f>E60*(1+VLOOKUP($B60,Salaries!$B$28:$F$32,5,FALSE))</f>
        <v>4325163.12</v>
      </c>
      <c r="G60" s="13">
        <f t="shared" si="0"/>
        <v>84807.120000000112</v>
      </c>
      <c r="H60" s="13">
        <f>G60*VLOOKUP($B60,LoadRates!$C$2:$E$6,3,FALSE)</f>
        <v>33414.005280000049</v>
      </c>
      <c r="I60" s="13">
        <f t="shared" si="1"/>
        <v>118221.12528000015</v>
      </c>
    </row>
    <row r="61" spans="1:9" ht="18" customHeight="1" x14ac:dyDescent="0.25">
      <c r="A61" s="11" t="s">
        <v>52</v>
      </c>
      <c r="B61" s="92" t="s">
        <v>55</v>
      </c>
      <c r="C61" s="92" t="s">
        <v>117</v>
      </c>
      <c r="D61" s="92" t="s">
        <v>118</v>
      </c>
      <c r="E61" s="93">
        <v>11784</v>
      </c>
      <c r="F61" s="13">
        <f>E61*(1+VLOOKUP($B61,Salaries!$B$28:$F$32,5,FALSE))</f>
        <v>12019.68</v>
      </c>
      <c r="G61" s="13">
        <f t="shared" si="0"/>
        <v>235.68000000000029</v>
      </c>
      <c r="H61" s="13">
        <f>G61*VLOOKUP($B61,LoadRates!$C$2:$E$6,3,FALSE)</f>
        <v>92.857920000000121</v>
      </c>
      <c r="I61" s="13">
        <f t="shared" si="1"/>
        <v>328.53792000000044</v>
      </c>
    </row>
    <row r="62" spans="1:9" ht="18" customHeight="1" x14ac:dyDescent="0.25">
      <c r="A62" s="11" t="s">
        <v>54</v>
      </c>
      <c r="B62" s="92" t="s">
        <v>55</v>
      </c>
      <c r="C62" s="92" t="s">
        <v>119</v>
      </c>
      <c r="D62" s="92" t="s">
        <v>120</v>
      </c>
      <c r="E62" s="93">
        <v>93228</v>
      </c>
      <c r="F62" s="13">
        <f>E62*(1+VLOOKUP($B62,Salaries!$B$28:$F$32,5,FALSE))</f>
        <v>95092.56</v>
      </c>
      <c r="G62" s="13">
        <f t="shared" si="0"/>
        <v>1864.5599999999977</v>
      </c>
      <c r="H62" s="13">
        <f>G62*VLOOKUP($B62,LoadRates!$C$2:$E$6,3,FALSE)</f>
        <v>734.63663999999915</v>
      </c>
      <c r="I62" s="13">
        <f t="shared" si="1"/>
        <v>2599.1966399999969</v>
      </c>
    </row>
    <row r="63" spans="1:9" ht="18" customHeight="1" x14ac:dyDescent="0.25">
      <c r="A63" s="11" t="s">
        <v>54</v>
      </c>
      <c r="B63" s="92" t="s">
        <v>55</v>
      </c>
      <c r="C63" s="92" t="s">
        <v>121</v>
      </c>
      <c r="D63" s="92" t="s">
        <v>122</v>
      </c>
      <c r="E63" s="93">
        <v>940488</v>
      </c>
      <c r="F63" s="13">
        <f>E63*(1+VLOOKUP($B63,Salaries!$B$28:$F$32,5,FALSE))</f>
        <v>959297.76</v>
      </c>
      <c r="G63" s="13">
        <f t="shared" si="0"/>
        <v>18809.760000000009</v>
      </c>
      <c r="H63" s="13">
        <f>G63*VLOOKUP($B63,LoadRates!$C$2:$E$6,3,FALSE)</f>
        <v>7411.0454400000044</v>
      </c>
      <c r="I63" s="13">
        <f t="shared" si="1"/>
        <v>26220.805440000015</v>
      </c>
    </row>
    <row r="64" spans="1:9" ht="18" customHeight="1" x14ac:dyDescent="0.25">
      <c r="A64" s="11" t="s">
        <v>54</v>
      </c>
      <c r="B64" s="92" t="s">
        <v>55</v>
      </c>
      <c r="C64" s="92" t="s">
        <v>123</v>
      </c>
      <c r="D64" s="92" t="s">
        <v>124</v>
      </c>
      <c r="E64" s="93">
        <v>0</v>
      </c>
      <c r="F64" s="13">
        <f>E64*(1+VLOOKUP($B64,Salaries!$B$28:$F$32,5,FALSE))</f>
        <v>0</v>
      </c>
      <c r="G64" s="13">
        <f t="shared" si="0"/>
        <v>0</v>
      </c>
      <c r="H64" s="13">
        <f>G64*VLOOKUP($B64,LoadRates!$C$2:$E$6,3,FALSE)</f>
        <v>0</v>
      </c>
      <c r="I64" s="13">
        <f t="shared" si="1"/>
        <v>0</v>
      </c>
    </row>
    <row r="65" spans="1:9" ht="18" customHeight="1" x14ac:dyDescent="0.25">
      <c r="A65" s="11" t="s">
        <v>54</v>
      </c>
      <c r="B65" s="92" t="s">
        <v>55</v>
      </c>
      <c r="C65" s="92" t="s">
        <v>125</v>
      </c>
      <c r="D65" s="92" t="s">
        <v>126</v>
      </c>
      <c r="E65" s="93">
        <v>1878792</v>
      </c>
      <c r="F65" s="13">
        <f>E65*(1+VLOOKUP($B65,Salaries!$B$28:$F$32,5,FALSE))</f>
        <v>1916367.84</v>
      </c>
      <c r="G65" s="13">
        <f t="shared" si="0"/>
        <v>37575.840000000084</v>
      </c>
      <c r="H65" s="13">
        <f>G65*VLOOKUP($B65,LoadRates!$C$2:$E$6,3,FALSE)</f>
        <v>14804.880960000033</v>
      </c>
      <c r="I65" s="13">
        <f t="shared" si="1"/>
        <v>52380.720960000115</v>
      </c>
    </row>
    <row r="66" spans="1:9" ht="18" customHeight="1" x14ac:dyDescent="0.25">
      <c r="A66" s="11" t="s">
        <v>54</v>
      </c>
      <c r="B66" s="92" t="s">
        <v>55</v>
      </c>
      <c r="C66" s="92" t="s">
        <v>127</v>
      </c>
      <c r="D66" s="92" t="s">
        <v>128</v>
      </c>
      <c r="E66" s="93">
        <v>37932</v>
      </c>
      <c r="F66" s="13">
        <f>E66*(1+VLOOKUP($B66,Salaries!$B$28:$F$32,5,FALSE))</f>
        <v>38690.639999999999</v>
      </c>
      <c r="G66" s="13">
        <f t="shared" ref="G66:G101" si="2">+F66-E66</f>
        <v>758.63999999999942</v>
      </c>
      <c r="H66" s="13">
        <f>G66*VLOOKUP($B66,LoadRates!$C$2:$E$6,3,FALSE)</f>
        <v>298.90415999999976</v>
      </c>
      <c r="I66" s="13">
        <f t="shared" ref="I66:I101" si="3">+G66+H66</f>
        <v>1057.5441599999992</v>
      </c>
    </row>
    <row r="67" spans="1:9" ht="18" customHeight="1" x14ac:dyDescent="0.25">
      <c r="A67" s="11" t="s">
        <v>54</v>
      </c>
      <c r="B67" s="92" t="s">
        <v>57</v>
      </c>
      <c r="C67" s="92" t="s">
        <v>97</v>
      </c>
      <c r="D67" s="92" t="s">
        <v>98</v>
      </c>
      <c r="E67" s="93">
        <v>0</v>
      </c>
      <c r="F67" s="13">
        <f>E67*(1+VLOOKUP($B67,Salaries!$B$28:$F$32,5,FALSE))</f>
        <v>0</v>
      </c>
      <c r="G67" s="13">
        <f t="shared" si="2"/>
        <v>0</v>
      </c>
      <c r="H67" s="13">
        <f>G67*VLOOKUP($B67,LoadRates!$C$2:$E$6,3,FALSE)</f>
        <v>0</v>
      </c>
      <c r="I67" s="13">
        <f t="shared" si="3"/>
        <v>0</v>
      </c>
    </row>
    <row r="68" spans="1:9" ht="18" customHeight="1" x14ac:dyDescent="0.25">
      <c r="A68" s="11" t="s">
        <v>54</v>
      </c>
      <c r="B68" s="92" t="s">
        <v>57</v>
      </c>
      <c r="C68" s="92" t="s">
        <v>99</v>
      </c>
      <c r="D68" s="92" t="s">
        <v>100</v>
      </c>
      <c r="E68" s="93">
        <v>0</v>
      </c>
      <c r="F68" s="13">
        <f>E68*(1+VLOOKUP($B68,Salaries!$B$28:$F$32,5,FALSE))</f>
        <v>0</v>
      </c>
      <c r="G68" s="13">
        <f t="shared" si="2"/>
        <v>0</v>
      </c>
      <c r="H68" s="13">
        <f>G68*VLOOKUP($B68,LoadRates!$C$2:$E$6,3,FALSE)</f>
        <v>0</v>
      </c>
      <c r="I68" s="13">
        <f t="shared" si="3"/>
        <v>0</v>
      </c>
    </row>
    <row r="69" spans="1:9" ht="18" customHeight="1" x14ac:dyDescent="0.25">
      <c r="A69" s="11" t="s">
        <v>54</v>
      </c>
      <c r="B69" s="92" t="s">
        <v>57</v>
      </c>
      <c r="C69" s="92" t="s">
        <v>101</v>
      </c>
      <c r="D69" s="92" t="s">
        <v>102</v>
      </c>
      <c r="E69" s="93">
        <v>82749</v>
      </c>
      <c r="F69" s="13">
        <f>E69*(1+VLOOKUP($B69,Salaries!$B$28:$F$32,5,FALSE))</f>
        <v>87713.94</v>
      </c>
      <c r="G69" s="13">
        <f t="shared" si="2"/>
        <v>4964.9400000000023</v>
      </c>
      <c r="H69" s="13">
        <f>G69*VLOOKUP($B69,LoadRates!$C$2:$E$6,3,FALSE)</f>
        <v>878.79438000000039</v>
      </c>
      <c r="I69" s="13">
        <f t="shared" si="3"/>
        <v>5843.7343800000026</v>
      </c>
    </row>
    <row r="70" spans="1:9" ht="18" customHeight="1" x14ac:dyDescent="0.25">
      <c r="A70" s="11" t="s">
        <v>54</v>
      </c>
      <c r="B70" s="92" t="s">
        <v>57</v>
      </c>
      <c r="C70" s="92" t="s">
        <v>103</v>
      </c>
      <c r="D70" s="92" t="s">
        <v>104</v>
      </c>
      <c r="E70" s="93">
        <v>0</v>
      </c>
      <c r="F70" s="13">
        <f>E70*(1+VLOOKUP($B70,Salaries!$B$28:$F$32,5,FALSE))</f>
        <v>0</v>
      </c>
      <c r="G70" s="13">
        <f t="shared" si="2"/>
        <v>0</v>
      </c>
      <c r="H70" s="13">
        <f>G70*VLOOKUP($B70,LoadRates!$C$2:$E$6,3,FALSE)</f>
        <v>0</v>
      </c>
      <c r="I70" s="13">
        <f t="shared" si="3"/>
        <v>0</v>
      </c>
    </row>
    <row r="71" spans="1:9" ht="18" customHeight="1" x14ac:dyDescent="0.25">
      <c r="A71" s="11" t="s">
        <v>54</v>
      </c>
      <c r="B71" s="92" t="s">
        <v>57</v>
      </c>
      <c r="C71" s="92" t="s">
        <v>105</v>
      </c>
      <c r="D71" s="92" t="s">
        <v>106</v>
      </c>
      <c r="E71" s="93">
        <v>19917</v>
      </c>
      <c r="F71" s="13">
        <f>E71*(1+VLOOKUP($B71,Salaries!$B$28:$F$32,5,FALSE))</f>
        <v>21112.02</v>
      </c>
      <c r="G71" s="13">
        <f t="shared" si="2"/>
        <v>1195.0200000000004</v>
      </c>
      <c r="H71" s="13">
        <f>G71*VLOOKUP($B71,LoadRates!$C$2:$E$6,3,FALSE)</f>
        <v>211.51854000000006</v>
      </c>
      <c r="I71" s="13">
        <f t="shared" si="3"/>
        <v>1406.5385400000005</v>
      </c>
    </row>
    <row r="72" spans="1:9" ht="18" customHeight="1" x14ac:dyDescent="0.25">
      <c r="A72" s="11" t="s">
        <v>54</v>
      </c>
      <c r="B72" s="92" t="s">
        <v>57</v>
      </c>
      <c r="C72" s="92" t="s">
        <v>107</v>
      </c>
      <c r="D72" s="92" t="s">
        <v>108</v>
      </c>
      <c r="E72" s="93">
        <v>24696</v>
      </c>
      <c r="F72" s="13">
        <f>E72*(1+VLOOKUP($B72,Salaries!$B$28:$F$32,5,FALSE))</f>
        <v>26177.760000000002</v>
      </c>
      <c r="G72" s="13">
        <f t="shared" si="2"/>
        <v>1481.760000000002</v>
      </c>
      <c r="H72" s="13">
        <f>G72*VLOOKUP($B72,LoadRates!$C$2:$E$6,3,FALSE)</f>
        <v>262.27152000000035</v>
      </c>
      <c r="I72" s="13">
        <f t="shared" si="3"/>
        <v>1744.0315200000023</v>
      </c>
    </row>
    <row r="73" spans="1:9" ht="18" customHeight="1" x14ac:dyDescent="0.25">
      <c r="A73" s="11" t="s">
        <v>54</v>
      </c>
      <c r="B73" s="92" t="s">
        <v>57</v>
      </c>
      <c r="C73" s="92" t="s">
        <v>109</v>
      </c>
      <c r="D73" s="92" t="s">
        <v>110</v>
      </c>
      <c r="E73" s="93">
        <v>0</v>
      </c>
      <c r="F73" s="13">
        <f>E73*(1+VLOOKUP($B73,Salaries!$B$28:$F$32,5,FALSE))</f>
        <v>0</v>
      </c>
      <c r="G73" s="13">
        <f t="shared" si="2"/>
        <v>0</v>
      </c>
      <c r="H73" s="13">
        <f>G73*VLOOKUP($B73,LoadRates!$C$2:$E$6,3,FALSE)</f>
        <v>0</v>
      </c>
      <c r="I73" s="13">
        <f t="shared" si="3"/>
        <v>0</v>
      </c>
    </row>
    <row r="74" spans="1:9" ht="18" customHeight="1" x14ac:dyDescent="0.25">
      <c r="A74" s="11" t="s">
        <v>54</v>
      </c>
      <c r="B74" s="92" t="s">
        <v>57</v>
      </c>
      <c r="C74" s="92" t="s">
        <v>111</v>
      </c>
      <c r="D74" s="92" t="s">
        <v>112</v>
      </c>
      <c r="E74" s="93">
        <v>0</v>
      </c>
      <c r="F74" s="13">
        <f>E74*(1+VLOOKUP($B74,Salaries!$B$28:$F$32,5,FALSE))</f>
        <v>0</v>
      </c>
      <c r="G74" s="13">
        <f t="shared" si="2"/>
        <v>0</v>
      </c>
      <c r="H74" s="13">
        <f>G74*VLOOKUP($B74,LoadRates!$C$2:$E$6,3,FALSE)</f>
        <v>0</v>
      </c>
      <c r="I74" s="13">
        <f t="shared" si="3"/>
        <v>0</v>
      </c>
    </row>
    <row r="75" spans="1:9" ht="18" customHeight="1" x14ac:dyDescent="0.25">
      <c r="A75" s="11" t="s">
        <v>54</v>
      </c>
      <c r="B75" s="92" t="s">
        <v>57</v>
      </c>
      <c r="C75" s="92" t="s">
        <v>113</v>
      </c>
      <c r="D75" s="92" t="s">
        <v>114</v>
      </c>
      <c r="E75" s="93">
        <v>79776</v>
      </c>
      <c r="F75" s="13">
        <f>E75*(1+VLOOKUP($B75,Salaries!$B$28:$F$32,5,FALSE))</f>
        <v>84562.559999999998</v>
      </c>
      <c r="G75" s="13">
        <f t="shared" si="2"/>
        <v>4786.5599999999977</v>
      </c>
      <c r="H75" s="13">
        <f>G75*VLOOKUP($B75,LoadRates!$C$2:$E$6,3,FALSE)</f>
        <v>847.22111999999959</v>
      </c>
      <c r="I75" s="13">
        <f t="shared" si="3"/>
        <v>5633.7811199999969</v>
      </c>
    </row>
    <row r="76" spans="1:9" ht="18" customHeight="1" x14ac:dyDescent="0.25">
      <c r="A76" s="11" t="s">
        <v>54</v>
      </c>
      <c r="B76" s="92" t="s">
        <v>57</v>
      </c>
      <c r="C76" s="92" t="s">
        <v>115</v>
      </c>
      <c r="D76" s="92" t="s">
        <v>116</v>
      </c>
      <c r="E76" s="93">
        <v>0</v>
      </c>
      <c r="F76" s="13">
        <f>E76*(1+VLOOKUP($B76,Salaries!$B$28:$F$32,5,FALSE))</f>
        <v>0</v>
      </c>
      <c r="G76" s="13">
        <f t="shared" si="2"/>
        <v>0</v>
      </c>
      <c r="H76" s="13">
        <f>G76*VLOOKUP($B76,LoadRates!$C$2:$E$6,3,FALSE)</f>
        <v>0</v>
      </c>
      <c r="I76" s="13">
        <f t="shared" si="3"/>
        <v>0</v>
      </c>
    </row>
    <row r="77" spans="1:9" ht="18" customHeight="1" x14ac:dyDescent="0.25">
      <c r="A77" s="11" t="s">
        <v>54</v>
      </c>
      <c r="B77" s="92" t="s">
        <v>57</v>
      </c>
      <c r="C77" s="92" t="s">
        <v>117</v>
      </c>
      <c r="D77" s="92" t="s">
        <v>118</v>
      </c>
      <c r="E77" s="93">
        <v>0</v>
      </c>
      <c r="F77" s="13">
        <f>E77*(1+VLOOKUP($B77,Salaries!$B$28:$F$32,5,FALSE))</f>
        <v>0</v>
      </c>
      <c r="G77" s="13">
        <f t="shared" si="2"/>
        <v>0</v>
      </c>
      <c r="H77" s="13">
        <f>G77*VLOOKUP($B77,LoadRates!$C$2:$E$6,3,FALSE)</f>
        <v>0</v>
      </c>
      <c r="I77" s="13">
        <f t="shared" si="3"/>
        <v>0</v>
      </c>
    </row>
    <row r="78" spans="1:9" ht="18" customHeight="1" x14ac:dyDescent="0.25">
      <c r="A78" s="11" t="s">
        <v>54</v>
      </c>
      <c r="B78" s="92" t="s">
        <v>57</v>
      </c>
      <c r="C78" s="92" t="s">
        <v>119</v>
      </c>
      <c r="D78" s="92" t="s">
        <v>120</v>
      </c>
      <c r="E78" s="93">
        <v>0</v>
      </c>
      <c r="F78" s="13">
        <f>E78*(1+VLOOKUP($B78,Salaries!$B$28:$F$32,5,FALSE))</f>
        <v>0</v>
      </c>
      <c r="G78" s="13">
        <f t="shared" si="2"/>
        <v>0</v>
      </c>
      <c r="H78" s="13">
        <f>G78*VLOOKUP($B78,LoadRates!$C$2:$E$6,3,FALSE)</f>
        <v>0</v>
      </c>
      <c r="I78" s="13">
        <f t="shared" si="3"/>
        <v>0</v>
      </c>
    </row>
    <row r="79" spans="1:9" ht="18" customHeight="1" x14ac:dyDescent="0.25">
      <c r="A79" s="11" t="s">
        <v>54</v>
      </c>
      <c r="B79" s="92" t="s">
        <v>57</v>
      </c>
      <c r="C79" s="92" t="s">
        <v>121</v>
      </c>
      <c r="D79" s="92" t="s">
        <v>122</v>
      </c>
      <c r="E79" s="93">
        <v>107124</v>
      </c>
      <c r="F79" s="13">
        <f>E79*(1+VLOOKUP($B79,Salaries!$B$28:$F$32,5,FALSE))</f>
        <v>113551.44</v>
      </c>
      <c r="G79" s="13">
        <f t="shared" si="2"/>
        <v>6427.4400000000023</v>
      </c>
      <c r="H79" s="13">
        <f>G79*VLOOKUP($B79,LoadRates!$C$2:$E$6,3,FALSE)</f>
        <v>1137.6568800000005</v>
      </c>
      <c r="I79" s="13">
        <f t="shared" si="3"/>
        <v>7565.0968800000028</v>
      </c>
    </row>
    <row r="80" spans="1:9" ht="18" customHeight="1" x14ac:dyDescent="0.25">
      <c r="A80" s="11" t="s">
        <v>54</v>
      </c>
      <c r="B80" s="92" t="s">
        <v>57</v>
      </c>
      <c r="C80" s="92" t="s">
        <v>123</v>
      </c>
      <c r="D80" s="92" t="s">
        <v>124</v>
      </c>
      <c r="E80" s="93">
        <v>0</v>
      </c>
      <c r="F80" s="13">
        <f>E80*(1+VLOOKUP($B80,Salaries!$B$28:$F$32,5,FALSE))</f>
        <v>0</v>
      </c>
      <c r="G80" s="13">
        <f t="shared" si="2"/>
        <v>0</v>
      </c>
      <c r="H80" s="13">
        <f>G80*VLOOKUP($B80,LoadRates!$C$2:$E$6,3,FALSE)</f>
        <v>0</v>
      </c>
      <c r="I80" s="13">
        <f t="shared" si="3"/>
        <v>0</v>
      </c>
    </row>
    <row r="81" spans="1:9" ht="18" customHeight="1" x14ac:dyDescent="0.25">
      <c r="A81" s="11" t="s">
        <v>54</v>
      </c>
      <c r="B81" s="92" t="s">
        <v>57</v>
      </c>
      <c r="C81" s="92" t="s">
        <v>125</v>
      </c>
      <c r="D81" s="92" t="s">
        <v>126</v>
      </c>
      <c r="E81" s="93">
        <v>0</v>
      </c>
      <c r="F81" s="13">
        <f>E81*(1+VLOOKUP($B81,Salaries!$B$28:$F$32,5,FALSE))</f>
        <v>0</v>
      </c>
      <c r="G81" s="13">
        <f t="shared" si="2"/>
        <v>0</v>
      </c>
      <c r="H81" s="13">
        <f>G81*VLOOKUP($B81,LoadRates!$C$2:$E$6,3,FALSE)</f>
        <v>0</v>
      </c>
      <c r="I81" s="13">
        <f t="shared" si="3"/>
        <v>0</v>
      </c>
    </row>
    <row r="82" spans="1:9" ht="18" customHeight="1" x14ac:dyDescent="0.25">
      <c r="A82" s="11" t="s">
        <v>56</v>
      </c>
      <c r="B82" s="92" t="s">
        <v>57</v>
      </c>
      <c r="C82" s="92" t="s">
        <v>127</v>
      </c>
      <c r="D82" s="92" t="s">
        <v>128</v>
      </c>
      <c r="E82" s="93">
        <v>0</v>
      </c>
      <c r="F82" s="13">
        <f>E82*(1+VLOOKUP($B82,Salaries!$B$28:$F$32,5,FALSE))</f>
        <v>0</v>
      </c>
      <c r="G82" s="13">
        <f t="shared" si="2"/>
        <v>0</v>
      </c>
      <c r="H82" s="13">
        <f>G82*VLOOKUP($B82,LoadRates!$C$2:$E$6,3,FALSE)</f>
        <v>0</v>
      </c>
      <c r="I82" s="13">
        <f t="shared" si="3"/>
        <v>0</v>
      </c>
    </row>
    <row r="83" spans="1:9" ht="18" customHeight="1" x14ac:dyDescent="0.25">
      <c r="A83" s="11" t="s">
        <v>56</v>
      </c>
      <c r="B83" s="11" t="s">
        <v>57</v>
      </c>
      <c r="C83" s="11" t="s">
        <v>13</v>
      </c>
      <c r="D83" s="11" t="s">
        <v>14</v>
      </c>
      <c r="E83" s="12">
        <v>15576930</v>
      </c>
      <c r="F83" s="13">
        <f>E83*(1+VLOOKUP($B83,Salaries!$B$28:$F$32,5,FALSE))</f>
        <v>16511545.800000001</v>
      </c>
      <c r="G83" s="13">
        <f t="shared" si="2"/>
        <v>934615.80000000075</v>
      </c>
      <c r="H83" s="13">
        <f>G83*VLOOKUP($B83,LoadRates!$C$2:$E$6,3,FALSE)</f>
        <v>165426.99660000013</v>
      </c>
      <c r="I83" s="13">
        <f t="shared" si="3"/>
        <v>1100042.7966000009</v>
      </c>
    </row>
    <row r="84" spans="1:9" ht="18" customHeight="1" x14ac:dyDescent="0.25">
      <c r="A84" s="11" t="s">
        <v>56</v>
      </c>
      <c r="B84" s="11" t="s">
        <v>57</v>
      </c>
      <c r="C84" s="11" t="s">
        <v>15</v>
      </c>
      <c r="D84" s="11" t="s">
        <v>16</v>
      </c>
      <c r="E84" s="12">
        <v>41753</v>
      </c>
      <c r="F84" s="13">
        <f>E84*(1+VLOOKUP($B84,Salaries!$B$28:$F$32,5,FALSE))</f>
        <v>44258.18</v>
      </c>
      <c r="G84" s="13">
        <f t="shared" si="2"/>
        <v>2505.1800000000003</v>
      </c>
      <c r="H84" s="13">
        <f>G84*VLOOKUP($B84,LoadRates!$C$2:$E$6,3,FALSE)</f>
        <v>443.41686000000004</v>
      </c>
      <c r="I84" s="13">
        <f t="shared" si="3"/>
        <v>2948.5968600000006</v>
      </c>
    </row>
    <row r="85" spans="1:9" ht="18" customHeight="1" x14ac:dyDescent="0.25">
      <c r="A85" s="11" t="s">
        <v>56</v>
      </c>
      <c r="B85" s="11" t="s">
        <v>57</v>
      </c>
      <c r="C85" s="11" t="s">
        <v>17</v>
      </c>
      <c r="D85" s="11" t="s">
        <v>18</v>
      </c>
      <c r="E85" s="12">
        <v>657153</v>
      </c>
      <c r="F85" s="13">
        <f>E85*(1+VLOOKUP($B85,Salaries!$B$28:$F$32,5,FALSE))</f>
        <v>696582.18</v>
      </c>
      <c r="G85" s="13">
        <f t="shared" si="2"/>
        <v>39429.180000000051</v>
      </c>
      <c r="H85" s="13">
        <f>G85*VLOOKUP($B85,LoadRates!$C$2:$E$6,3,FALSE)</f>
        <v>6978.9648600000091</v>
      </c>
      <c r="I85" s="13">
        <f t="shared" si="3"/>
        <v>46408.144860000059</v>
      </c>
    </row>
    <row r="86" spans="1:9" ht="18" customHeight="1" x14ac:dyDescent="0.25">
      <c r="A86" s="11" t="s">
        <v>56</v>
      </c>
      <c r="B86" s="11" t="s">
        <v>57</v>
      </c>
      <c r="C86" s="11" t="s">
        <v>19</v>
      </c>
      <c r="D86" s="11" t="s">
        <v>20</v>
      </c>
      <c r="E86" s="12">
        <v>414076</v>
      </c>
      <c r="F86" s="13">
        <f>E86*(1+VLOOKUP($B86,Salaries!$B$28:$F$32,5,FALSE))</f>
        <v>438920.56</v>
      </c>
      <c r="G86" s="13">
        <f t="shared" si="2"/>
        <v>24844.559999999998</v>
      </c>
      <c r="H86" s="13">
        <f>G86*VLOOKUP($B86,LoadRates!$C$2:$E$6,3,FALSE)</f>
        <v>4397.4871199999998</v>
      </c>
      <c r="I86" s="13">
        <f t="shared" si="3"/>
        <v>29242.047119999996</v>
      </c>
    </row>
    <row r="87" spans="1:9" ht="18" customHeight="1" x14ac:dyDescent="0.25">
      <c r="A87" s="11" t="s">
        <v>56</v>
      </c>
      <c r="B87" s="11" t="s">
        <v>57</v>
      </c>
      <c r="C87" s="11" t="s">
        <v>21</v>
      </c>
      <c r="D87" s="11" t="s">
        <v>22</v>
      </c>
      <c r="E87" s="12">
        <v>1827148</v>
      </c>
      <c r="F87" s="13">
        <f>E87*(1+VLOOKUP($B87,Salaries!$B$28:$F$32,5,FALSE))</f>
        <v>1936776.8800000001</v>
      </c>
      <c r="G87" s="13">
        <f t="shared" si="2"/>
        <v>109628.88000000012</v>
      </c>
      <c r="H87" s="13">
        <f>G87*VLOOKUP($B87,LoadRates!$C$2:$E$6,3,FALSE)</f>
        <v>19404.311760000019</v>
      </c>
      <c r="I87" s="13">
        <f t="shared" si="3"/>
        <v>129033.19176000013</v>
      </c>
    </row>
    <row r="88" spans="1:9" ht="18" customHeight="1" x14ac:dyDescent="0.25">
      <c r="A88" s="11" t="s">
        <v>56</v>
      </c>
      <c r="B88" s="11" t="s">
        <v>57</v>
      </c>
      <c r="C88" s="11" t="s">
        <v>23</v>
      </c>
      <c r="D88" s="11" t="s">
        <v>24</v>
      </c>
      <c r="E88" s="12">
        <v>1222049</v>
      </c>
      <c r="F88" s="13">
        <f>E88*(1+VLOOKUP($B88,Salaries!$B$28:$F$32,5,FALSE))</f>
        <v>1295371.9400000002</v>
      </c>
      <c r="G88" s="13">
        <f t="shared" si="2"/>
        <v>73322.940000000177</v>
      </c>
      <c r="H88" s="13">
        <f>G88*VLOOKUP($B88,LoadRates!$C$2:$E$6,3,FALSE)</f>
        <v>12978.16038000003</v>
      </c>
      <c r="I88" s="13">
        <f t="shared" si="3"/>
        <v>86301.100380000207</v>
      </c>
    </row>
    <row r="89" spans="1:9" ht="18" customHeight="1" x14ac:dyDescent="0.25">
      <c r="A89" s="11" t="s">
        <v>56</v>
      </c>
      <c r="B89" s="11" t="s">
        <v>57</v>
      </c>
      <c r="C89" s="11" t="s">
        <v>25</v>
      </c>
      <c r="D89" s="11" t="s">
        <v>26</v>
      </c>
      <c r="E89" s="12">
        <v>150905</v>
      </c>
      <c r="F89" s="13">
        <f>E89*(1+VLOOKUP($B89,Salaries!$B$28:$F$32,5,FALSE))</f>
        <v>159959.30000000002</v>
      </c>
      <c r="G89" s="13">
        <f t="shared" si="2"/>
        <v>9054.3000000000175</v>
      </c>
      <c r="H89" s="13">
        <f>G89*VLOOKUP($B89,LoadRates!$C$2:$E$6,3,FALSE)</f>
        <v>1602.611100000003</v>
      </c>
      <c r="I89" s="13">
        <f t="shared" si="3"/>
        <v>10656.911100000021</v>
      </c>
    </row>
    <row r="90" spans="1:9" ht="18" customHeight="1" x14ac:dyDescent="0.25">
      <c r="A90" s="11" t="s">
        <v>56</v>
      </c>
      <c r="B90" s="11" t="s">
        <v>57</v>
      </c>
      <c r="C90" s="11" t="s">
        <v>27</v>
      </c>
      <c r="D90" s="11" t="s">
        <v>28</v>
      </c>
      <c r="E90" s="12">
        <v>0</v>
      </c>
      <c r="F90" s="13">
        <f>E90*(1+VLOOKUP($B90,Salaries!$B$28:$F$32,5,FALSE))</f>
        <v>0</v>
      </c>
      <c r="G90" s="13">
        <f t="shared" si="2"/>
        <v>0</v>
      </c>
      <c r="H90" s="13">
        <f>G90*VLOOKUP($B90,LoadRates!$C$2:$E$6,3,FALSE)</f>
        <v>0</v>
      </c>
      <c r="I90" s="13">
        <f t="shared" si="3"/>
        <v>0</v>
      </c>
    </row>
    <row r="91" spans="1:9" ht="18" customHeight="1" x14ac:dyDescent="0.25">
      <c r="A91" s="11" t="s">
        <v>56</v>
      </c>
      <c r="B91" s="11" t="s">
        <v>57</v>
      </c>
      <c r="C91" s="11" t="s">
        <v>29</v>
      </c>
      <c r="D91" s="11" t="s">
        <v>30</v>
      </c>
      <c r="E91" s="12">
        <v>202230</v>
      </c>
      <c r="F91" s="13">
        <f>E91*(1+VLOOKUP($B91,Salaries!$B$28:$F$32,5,FALSE))</f>
        <v>214363.80000000002</v>
      </c>
      <c r="G91" s="13">
        <f t="shared" si="2"/>
        <v>12133.800000000017</v>
      </c>
      <c r="H91" s="13">
        <f>G91*VLOOKUP($B91,LoadRates!$C$2:$E$6,3,FALSE)</f>
        <v>2147.6826000000028</v>
      </c>
      <c r="I91" s="13">
        <f t="shared" si="3"/>
        <v>14281.482600000021</v>
      </c>
    </row>
    <row r="92" spans="1:9" ht="18" customHeight="1" x14ac:dyDescent="0.25">
      <c r="A92" s="11" t="s">
        <v>56</v>
      </c>
      <c r="B92" s="11" t="s">
        <v>57</v>
      </c>
      <c r="C92" s="11" t="s">
        <v>31</v>
      </c>
      <c r="D92" s="11" t="s">
        <v>32</v>
      </c>
      <c r="E92" s="12">
        <v>163173</v>
      </c>
      <c r="F92" s="13">
        <f>E92*(1+VLOOKUP($B92,Salaries!$B$28:$F$32,5,FALSE))</f>
        <v>172963.38</v>
      </c>
      <c r="G92" s="13">
        <f t="shared" si="2"/>
        <v>9790.3800000000047</v>
      </c>
      <c r="H92" s="13">
        <f>G92*VLOOKUP($B92,LoadRates!$C$2:$E$6,3,FALSE)</f>
        <v>1732.8972600000006</v>
      </c>
      <c r="I92" s="13">
        <f t="shared" si="3"/>
        <v>11523.277260000006</v>
      </c>
    </row>
    <row r="93" spans="1:9" ht="18" customHeight="1" x14ac:dyDescent="0.25">
      <c r="A93" s="11" t="s">
        <v>56</v>
      </c>
      <c r="B93" s="11" t="s">
        <v>57</v>
      </c>
      <c r="C93" s="11" t="s">
        <v>33</v>
      </c>
      <c r="D93" s="11" t="s">
        <v>34</v>
      </c>
      <c r="E93" s="12">
        <v>0</v>
      </c>
      <c r="F93" s="13">
        <f>E93*(1+VLOOKUP($B93,Salaries!$B$28:$F$32,5,FALSE))</f>
        <v>0</v>
      </c>
      <c r="G93" s="13">
        <f t="shared" si="2"/>
        <v>0</v>
      </c>
      <c r="H93" s="13">
        <f>G93*VLOOKUP($B93,LoadRates!$C$2:$E$6,3,FALSE)</f>
        <v>0</v>
      </c>
      <c r="I93" s="13">
        <f t="shared" si="3"/>
        <v>0</v>
      </c>
    </row>
    <row r="94" spans="1:9" ht="18" customHeight="1" x14ac:dyDescent="0.25">
      <c r="A94" s="11" t="s">
        <v>56</v>
      </c>
      <c r="B94" s="11" t="s">
        <v>57</v>
      </c>
      <c r="C94" s="11" t="s">
        <v>35</v>
      </c>
      <c r="D94" s="11" t="s">
        <v>36</v>
      </c>
      <c r="E94" s="12">
        <v>90117</v>
      </c>
      <c r="F94" s="13">
        <f>E94*(1+VLOOKUP($B94,Salaries!$B$28:$F$32,5,FALSE))</f>
        <v>95524.02</v>
      </c>
      <c r="G94" s="13">
        <f t="shared" si="2"/>
        <v>5407.0200000000041</v>
      </c>
      <c r="H94" s="13">
        <f>G94*VLOOKUP($B94,LoadRates!$C$2:$E$6,3,FALSE)</f>
        <v>957.04254000000071</v>
      </c>
      <c r="I94" s="13">
        <f t="shared" si="3"/>
        <v>6364.0625400000044</v>
      </c>
    </row>
    <row r="95" spans="1:9" ht="18" customHeight="1" x14ac:dyDescent="0.25">
      <c r="A95" s="11" t="s">
        <v>56</v>
      </c>
      <c r="B95" s="11" t="s">
        <v>57</v>
      </c>
      <c r="C95" s="11" t="s">
        <v>37</v>
      </c>
      <c r="D95" s="11" t="s">
        <v>38</v>
      </c>
      <c r="E95" s="12">
        <v>0</v>
      </c>
      <c r="F95" s="13">
        <f>E95*(1+VLOOKUP($B95,Salaries!$B$28:$F$32,5,FALSE))</f>
        <v>0</v>
      </c>
      <c r="G95" s="13">
        <f t="shared" si="2"/>
        <v>0</v>
      </c>
      <c r="H95" s="13">
        <f>G95*VLOOKUP($B95,LoadRates!$C$2:$E$6,3,FALSE)</f>
        <v>0</v>
      </c>
      <c r="I95" s="13">
        <f t="shared" si="3"/>
        <v>0</v>
      </c>
    </row>
    <row r="96" spans="1:9" ht="18" customHeight="1" x14ac:dyDescent="0.25">
      <c r="A96" s="11" t="s">
        <v>56</v>
      </c>
      <c r="B96" s="11" t="s">
        <v>57</v>
      </c>
      <c r="C96" s="11" t="s">
        <v>39</v>
      </c>
      <c r="D96" s="11" t="s">
        <v>40</v>
      </c>
      <c r="E96" s="12">
        <v>225563</v>
      </c>
      <c r="F96" s="13">
        <f>E96*(1+VLOOKUP($B96,Salaries!$B$28:$F$32,5,FALSE))</f>
        <v>239096.78</v>
      </c>
      <c r="G96" s="13">
        <f t="shared" si="2"/>
        <v>13533.779999999999</v>
      </c>
      <c r="H96" s="13">
        <f>G96*VLOOKUP($B96,LoadRates!$C$2:$E$6,3,FALSE)</f>
        <v>2395.4790599999997</v>
      </c>
      <c r="I96" s="13">
        <f t="shared" si="3"/>
        <v>15929.259059999998</v>
      </c>
    </row>
    <row r="97" spans="1:9" ht="18" customHeight="1" x14ac:dyDescent="0.25">
      <c r="A97" s="11" t="s">
        <v>56</v>
      </c>
      <c r="B97" s="11" t="s">
        <v>57</v>
      </c>
      <c r="C97" s="11" t="s">
        <v>41</v>
      </c>
      <c r="D97" s="11" t="s">
        <v>42</v>
      </c>
      <c r="E97" s="12">
        <v>0</v>
      </c>
      <c r="F97" s="13">
        <f>E97*(1+VLOOKUP($B97,Salaries!$B$28:$F$32,5,FALSE))</f>
        <v>0</v>
      </c>
      <c r="G97" s="13">
        <f t="shared" si="2"/>
        <v>0</v>
      </c>
      <c r="H97" s="13">
        <f>G97*VLOOKUP($B97,LoadRates!$C$2:$E$6,3,FALSE)</f>
        <v>0</v>
      </c>
      <c r="I97" s="13">
        <f t="shared" si="3"/>
        <v>0</v>
      </c>
    </row>
    <row r="98" spans="1:9" ht="18" customHeight="1" x14ac:dyDescent="0.25">
      <c r="A98" s="11" t="s">
        <v>56</v>
      </c>
      <c r="B98" s="11" t="s">
        <v>57</v>
      </c>
      <c r="C98" s="11" t="s">
        <v>43</v>
      </c>
      <c r="D98" s="11" t="s">
        <v>44</v>
      </c>
      <c r="E98" s="12">
        <v>3255057</v>
      </c>
      <c r="F98" s="13">
        <f>E98*(1+VLOOKUP($B98,Salaries!$B$28:$F$32,5,FALSE))</f>
        <v>3450360.4200000004</v>
      </c>
      <c r="G98" s="13">
        <f t="shared" si="2"/>
        <v>195303.42000000039</v>
      </c>
      <c r="H98" s="13">
        <f>G98*VLOOKUP($B98,LoadRates!$C$2:$E$6,3,FALSE)</f>
        <v>34568.705340000066</v>
      </c>
      <c r="I98" s="13">
        <f t="shared" si="3"/>
        <v>229872.12534000046</v>
      </c>
    </row>
    <row r="99" spans="1:9" ht="18" customHeight="1" x14ac:dyDescent="0.25">
      <c r="A99" s="11" t="s">
        <v>56</v>
      </c>
      <c r="B99" s="11" t="s">
        <v>57</v>
      </c>
      <c r="C99" s="11" t="s">
        <v>45</v>
      </c>
      <c r="D99" s="11" t="s">
        <v>46</v>
      </c>
      <c r="E99" s="12">
        <v>0</v>
      </c>
      <c r="F99" s="13">
        <f>E99*(1+VLOOKUP($B99,Salaries!$B$28:$F$32,5,FALSE))</f>
        <v>0</v>
      </c>
      <c r="G99" s="13">
        <f t="shared" si="2"/>
        <v>0</v>
      </c>
      <c r="H99" s="13">
        <f>G99*VLOOKUP($B99,LoadRates!$C$2:$E$6,3,FALSE)</f>
        <v>0</v>
      </c>
      <c r="I99" s="13">
        <f t="shared" si="3"/>
        <v>0</v>
      </c>
    </row>
    <row r="100" spans="1:9" ht="18" customHeight="1" x14ac:dyDescent="0.25">
      <c r="A100" s="11" t="s">
        <v>56</v>
      </c>
      <c r="B100" s="11" t="s">
        <v>57</v>
      </c>
      <c r="C100" s="11" t="s">
        <v>47</v>
      </c>
      <c r="D100" s="11" t="s">
        <v>48</v>
      </c>
      <c r="E100" s="12">
        <v>165483</v>
      </c>
      <c r="F100" s="13">
        <f>E100*(1+VLOOKUP($B100,Salaries!$B$28:$F$32,5,FALSE))</f>
        <v>175411.98</v>
      </c>
      <c r="G100" s="13">
        <f t="shared" si="2"/>
        <v>9928.9800000000105</v>
      </c>
      <c r="H100" s="13">
        <f>G100*VLOOKUP($B100,LoadRates!$C$2:$E$6,3,FALSE)</f>
        <v>1757.4294600000017</v>
      </c>
      <c r="I100" s="13">
        <f t="shared" si="3"/>
        <v>11686.409460000012</v>
      </c>
    </row>
    <row r="101" spans="1:9" ht="18" customHeight="1" x14ac:dyDescent="0.25">
      <c r="A101" s="11" t="s">
        <v>56</v>
      </c>
      <c r="B101" s="11" t="s">
        <v>57</v>
      </c>
      <c r="C101" s="11" t="s">
        <v>49</v>
      </c>
      <c r="D101" s="11" t="s">
        <v>50</v>
      </c>
      <c r="E101" s="12">
        <v>20820</v>
      </c>
      <c r="F101" s="13">
        <f>E101*(1+VLOOKUP($B101,Salaries!$B$28:$F$32,5,FALSE))</f>
        <v>22069.200000000001</v>
      </c>
      <c r="G101" s="13">
        <f t="shared" si="2"/>
        <v>1249.2000000000007</v>
      </c>
      <c r="H101" s="13">
        <f>G101*VLOOKUP($B101,LoadRates!$C$2:$E$6,3,FALSE)</f>
        <v>221.10840000000013</v>
      </c>
      <c r="I101" s="13">
        <f t="shared" si="3"/>
        <v>1470.3084000000008</v>
      </c>
    </row>
  </sheetData>
  <mergeCells count="1">
    <mergeCell ref="I1: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E5" sqref="E5"/>
    </sheetView>
  </sheetViews>
  <sheetFormatPr defaultColWidth="8.85546875" defaultRowHeight="18" customHeight="1" x14ac:dyDescent="0.25"/>
  <cols>
    <col min="1" max="1" width="33.42578125" style="5" customWidth="1"/>
    <col min="2" max="2" width="8.85546875" style="5"/>
    <col min="3" max="3" width="37.7109375" style="5" customWidth="1"/>
    <col min="4" max="4" width="11.85546875" style="5" customWidth="1"/>
    <col min="5" max="16384" width="8.85546875" style="5"/>
  </cols>
  <sheetData>
    <row r="1" spans="1:8" ht="18" customHeight="1" x14ac:dyDescent="0.25">
      <c r="A1" s="16" t="s">
        <v>58</v>
      </c>
      <c r="B1" s="16" t="s">
        <v>5</v>
      </c>
      <c r="C1" s="16" t="s">
        <v>6</v>
      </c>
      <c r="D1" s="16" t="s">
        <v>59</v>
      </c>
      <c r="E1" s="16" t="s">
        <v>2</v>
      </c>
      <c r="F1" s="17" t="s">
        <v>3</v>
      </c>
      <c r="G1" s="17" t="s">
        <v>60</v>
      </c>
      <c r="H1" s="17" t="s">
        <v>61</v>
      </c>
    </row>
    <row r="2" spans="1:8" ht="18" customHeight="1" x14ac:dyDescent="0.25">
      <c r="A2" s="18" t="s">
        <v>12</v>
      </c>
      <c r="B2" s="18" t="s">
        <v>0</v>
      </c>
      <c r="C2" s="19" t="s">
        <v>12</v>
      </c>
      <c r="D2" s="18">
        <v>0.22700000000000001</v>
      </c>
      <c r="E2" s="20">
        <v>0.24299999999999999</v>
      </c>
      <c r="F2" s="21">
        <v>0.24399999999999999</v>
      </c>
      <c r="G2" s="5">
        <f>+E2-D2</f>
        <v>1.5999999999999986E-2</v>
      </c>
      <c r="H2" s="5">
        <f>+F2-E2</f>
        <v>1.0000000000000009E-3</v>
      </c>
    </row>
    <row r="3" spans="1:8" ht="18" customHeight="1" x14ac:dyDescent="0.25">
      <c r="A3" s="18" t="s">
        <v>62</v>
      </c>
      <c r="B3" s="18" t="s">
        <v>1</v>
      </c>
      <c r="C3" s="19" t="s">
        <v>51</v>
      </c>
      <c r="D3" s="18">
        <v>0.26700000000000002</v>
      </c>
      <c r="E3" s="20">
        <v>0.307</v>
      </c>
      <c r="F3" s="21">
        <v>0.307</v>
      </c>
      <c r="G3" s="5">
        <f t="shared" ref="G3:H6" si="0">+E3-D3</f>
        <v>3.999999999999998E-2</v>
      </c>
      <c r="H3" s="5">
        <f t="shared" si="0"/>
        <v>0</v>
      </c>
    </row>
    <row r="4" spans="1:8" ht="18" customHeight="1" x14ac:dyDescent="0.25">
      <c r="A4" s="18" t="s">
        <v>63</v>
      </c>
      <c r="B4" s="18" t="s">
        <v>52</v>
      </c>
      <c r="C4" s="19" t="s">
        <v>53</v>
      </c>
      <c r="D4" s="18">
        <v>0.27700000000000002</v>
      </c>
      <c r="E4" s="20">
        <v>0.30499999999999999</v>
      </c>
      <c r="F4" s="21">
        <v>0.30399999999999999</v>
      </c>
      <c r="G4" s="5">
        <f t="shared" si="0"/>
        <v>2.7999999999999969E-2</v>
      </c>
      <c r="H4" s="5">
        <f t="shared" si="0"/>
        <v>-1.0000000000000009E-3</v>
      </c>
    </row>
    <row r="5" spans="1:8" ht="18" customHeight="1" x14ac:dyDescent="0.25">
      <c r="A5" s="18" t="s">
        <v>64</v>
      </c>
      <c r="B5" s="18" t="s">
        <v>54</v>
      </c>
      <c r="C5" s="19" t="s">
        <v>55</v>
      </c>
      <c r="D5" s="18">
        <v>0.33800000000000002</v>
      </c>
      <c r="E5" s="20">
        <v>0.39400000000000002</v>
      </c>
      <c r="F5" s="21">
        <v>0.39800000000000002</v>
      </c>
      <c r="G5" s="5">
        <f t="shared" si="0"/>
        <v>5.5999999999999994E-2</v>
      </c>
      <c r="H5" s="5">
        <f t="shared" si="0"/>
        <v>4.0000000000000036E-3</v>
      </c>
    </row>
    <row r="6" spans="1:8" ht="18" customHeight="1" x14ac:dyDescent="0.25">
      <c r="A6" s="18" t="s">
        <v>65</v>
      </c>
      <c r="B6" s="18" t="s">
        <v>56</v>
      </c>
      <c r="C6" s="19" t="s">
        <v>57</v>
      </c>
      <c r="D6" s="18">
        <v>0.20599999999999999</v>
      </c>
      <c r="E6" s="20">
        <v>0.17699999999999999</v>
      </c>
      <c r="F6" s="21">
        <v>0.17699999999999999</v>
      </c>
      <c r="G6" s="5">
        <f t="shared" si="0"/>
        <v>-2.8999999999999998E-2</v>
      </c>
      <c r="H6" s="5">
        <f t="shared" si="0"/>
        <v>0</v>
      </c>
    </row>
    <row r="7" spans="1:8" ht="18" customHeight="1" x14ac:dyDescent="0.25">
      <c r="A7" s="22"/>
      <c r="B7" s="18"/>
      <c r="C7" s="23"/>
      <c r="D7" s="24"/>
      <c r="E7" s="25"/>
      <c r="F7" s="26"/>
      <c r="G7" s="26"/>
      <c r="H7"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Reference</vt:lpstr>
      <vt:lpstr>Salaries</vt:lpstr>
      <vt:lpstr>AdminSalbyUnitByEmpType</vt:lpstr>
      <vt:lpstr>LoadRates</vt:lpstr>
      <vt:lpstr>Salaries!Print_Area</vt:lpstr>
    </vt:vector>
  </TitlesOfParts>
  <Company>UW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Diem</dc:creator>
  <cp:lastModifiedBy>Carol Diem</cp:lastModifiedBy>
  <dcterms:created xsi:type="dcterms:W3CDTF">2015-11-06T00:30:26Z</dcterms:created>
  <dcterms:modified xsi:type="dcterms:W3CDTF">2015-11-09T09:01:26Z</dcterms:modified>
</cp:coreProperties>
</file>